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4to.. TRIMESTRE - 2018\1.2 INF. PRESUPUESTARIA\2. EDO ANALIT. EGRE\2.1 EDO ANALIT. EJER. PRESUP. EGRE. (CONAC)\"/>
    </mc:Choice>
  </mc:AlternateContent>
  <bookViews>
    <workbookView xWindow="120" yWindow="30" windowWidth="28515" windowHeight="12345"/>
  </bookViews>
  <sheets>
    <sheet name="ENE- DIC" sheetId="14" r:id="rId1"/>
  </sheets>
  <definedNames>
    <definedName name="_xlnm.Print_Area" localSheetId="0">'ENE- DIC'!$A$1:$H$755</definedName>
    <definedName name="_xlnm.Print_Titles" localSheetId="0">'ENE- DIC'!$1:$8</definedName>
  </definedNames>
  <calcPr calcId="152511"/>
</workbook>
</file>

<file path=xl/calcChain.xml><?xml version="1.0" encoding="utf-8"?>
<calcChain xmlns="http://schemas.openxmlformats.org/spreadsheetml/2006/main">
  <c r="G628" i="14" l="1"/>
  <c r="G627" i="14" s="1"/>
  <c r="G626" i="14" s="1"/>
  <c r="E628" i="14"/>
  <c r="F627" i="14"/>
  <c r="F626" i="14" s="1"/>
  <c r="D627" i="14"/>
  <c r="D626" i="14" s="1"/>
  <c r="C627" i="14"/>
  <c r="C626" i="14"/>
  <c r="H615" i="14"/>
  <c r="G615" i="14"/>
  <c r="H618" i="14"/>
  <c r="H617" i="14" s="1"/>
  <c r="H616" i="14" s="1"/>
  <c r="E618" i="14"/>
  <c r="D617" i="14"/>
  <c r="D616" i="14" s="1"/>
  <c r="E617" i="14"/>
  <c r="E616" i="14" s="1"/>
  <c r="F617" i="14"/>
  <c r="G617" i="14"/>
  <c r="G616" i="14" s="1"/>
  <c r="D620" i="14"/>
  <c r="D619" i="14" s="1"/>
  <c r="F620" i="14"/>
  <c r="F619" i="14" s="1"/>
  <c r="G620" i="14"/>
  <c r="C620" i="14"/>
  <c r="G619" i="14"/>
  <c r="E623" i="14"/>
  <c r="H623" i="14" s="1"/>
  <c r="H620" i="14" s="1"/>
  <c r="H619" i="14" s="1"/>
  <c r="F616" i="14"/>
  <c r="C617" i="14"/>
  <c r="C616" i="14" s="1"/>
  <c r="G720" i="14"/>
  <c r="F720" i="14"/>
  <c r="E720" i="14"/>
  <c r="D720" i="14"/>
  <c r="C720" i="14"/>
  <c r="E724" i="14"/>
  <c r="D723" i="14"/>
  <c r="D722" i="14" s="1"/>
  <c r="E723" i="14"/>
  <c r="E722" i="14" s="1"/>
  <c r="F723" i="14"/>
  <c r="F722" i="14" s="1"/>
  <c r="G723" i="14"/>
  <c r="G722" i="14" s="1"/>
  <c r="H723" i="14"/>
  <c r="H722" i="14" s="1"/>
  <c r="C723" i="14"/>
  <c r="E721" i="14"/>
  <c r="H721" i="14" s="1"/>
  <c r="H720" i="14" s="1"/>
  <c r="G697" i="14"/>
  <c r="G696" i="14" s="1"/>
  <c r="E698" i="14"/>
  <c r="H698" i="14" s="1"/>
  <c r="H697" i="14" s="1"/>
  <c r="H696" i="14" s="1"/>
  <c r="F697" i="14"/>
  <c r="F696" i="14" s="1"/>
  <c r="D697" i="14"/>
  <c r="D696" i="14" s="1"/>
  <c r="C697" i="14"/>
  <c r="C696" i="14" s="1"/>
  <c r="D695" i="14"/>
  <c r="D694" i="14"/>
  <c r="D693" i="14"/>
  <c r="D688" i="14"/>
  <c r="D686" i="14"/>
  <c r="D685" i="14"/>
  <c r="D667" i="14"/>
  <c r="D661" i="14"/>
  <c r="F661" i="14"/>
  <c r="C661" i="14"/>
  <c r="G664" i="14"/>
  <c r="E664" i="14"/>
  <c r="H664" i="14" s="1"/>
  <c r="D659" i="14"/>
  <c r="F659" i="14"/>
  <c r="C659" i="14"/>
  <c r="G660" i="14"/>
  <c r="G659" i="14" s="1"/>
  <c r="D657" i="14"/>
  <c r="D655" i="14"/>
  <c r="D652" i="14"/>
  <c r="D651" i="14"/>
  <c r="D643" i="14"/>
  <c r="G648" i="14"/>
  <c r="G647" i="14" s="1"/>
  <c r="E648" i="14"/>
  <c r="H648" i="14" s="1"/>
  <c r="H647" i="14" s="1"/>
  <c r="F647" i="14"/>
  <c r="D647" i="14"/>
  <c r="C647" i="14"/>
  <c r="G646" i="14"/>
  <c r="E646" i="14"/>
  <c r="H646" i="14" s="1"/>
  <c r="G645" i="14"/>
  <c r="E645" i="14"/>
  <c r="H645" i="14" s="1"/>
  <c r="F644" i="14"/>
  <c r="F643" i="14" s="1"/>
  <c r="C644" i="14"/>
  <c r="D644" i="14" s="1"/>
  <c r="G642" i="14"/>
  <c r="G640" i="14" s="1"/>
  <c r="D642" i="14"/>
  <c r="G641" i="14"/>
  <c r="D641" i="14"/>
  <c r="E641" i="14" s="1"/>
  <c r="H641" i="14" s="1"/>
  <c r="F640" i="14"/>
  <c r="C640" i="14"/>
  <c r="G639" i="14"/>
  <c r="D639" i="14"/>
  <c r="E639" i="14" s="1"/>
  <c r="G638" i="14"/>
  <c r="G637" i="14" s="1"/>
  <c r="E638" i="14"/>
  <c r="H638" i="14" s="1"/>
  <c r="F637" i="14"/>
  <c r="D637" i="14"/>
  <c r="C637" i="14"/>
  <c r="G576" i="14"/>
  <c r="G574" i="14" s="1"/>
  <c r="D574" i="14"/>
  <c r="F574" i="14"/>
  <c r="C574" i="14"/>
  <c r="E576" i="14"/>
  <c r="D567" i="14"/>
  <c r="D568" i="14"/>
  <c r="D566" i="14"/>
  <c r="D565" i="14"/>
  <c r="D556" i="14"/>
  <c r="D551" i="14"/>
  <c r="D546" i="14"/>
  <c r="D541" i="14"/>
  <c r="D540" i="14"/>
  <c r="D531" i="14"/>
  <c r="D518" i="14"/>
  <c r="D516" i="14"/>
  <c r="D515" i="14"/>
  <c r="D514" i="14"/>
  <c r="D513" i="14"/>
  <c r="D509" i="14"/>
  <c r="F509" i="14"/>
  <c r="C509" i="14"/>
  <c r="G511" i="14"/>
  <c r="E511" i="14"/>
  <c r="H511" i="14" s="1"/>
  <c r="E510" i="14"/>
  <c r="G510" i="14"/>
  <c r="H510" i="14"/>
  <c r="D499" i="14"/>
  <c r="D497" i="14"/>
  <c r="D495" i="14"/>
  <c r="D494" i="14"/>
  <c r="D493" i="14"/>
  <c r="D491" i="14"/>
  <c r="D490" i="14"/>
  <c r="D488" i="14"/>
  <c r="D487" i="14"/>
  <c r="D486" i="14"/>
  <c r="D485" i="14"/>
  <c r="D484" i="14"/>
  <c r="D481" i="14"/>
  <c r="D479" i="14"/>
  <c r="D478" i="14"/>
  <c r="C463" i="14"/>
  <c r="G476" i="14"/>
  <c r="G475" i="14" s="1"/>
  <c r="C475" i="14"/>
  <c r="E476" i="14"/>
  <c r="H476" i="14" s="1"/>
  <c r="H475" i="14" s="1"/>
  <c r="F475" i="14"/>
  <c r="D475" i="14"/>
  <c r="D474" i="14"/>
  <c r="D473" i="14"/>
  <c r="D472" i="14"/>
  <c r="D468" i="14"/>
  <c r="D467" i="14"/>
  <c r="D465" i="14"/>
  <c r="D450" i="14"/>
  <c r="D447" i="14"/>
  <c r="D446" i="14"/>
  <c r="D445" i="14"/>
  <c r="D440" i="14"/>
  <c r="D394" i="14"/>
  <c r="D390" i="14"/>
  <c r="F390" i="14"/>
  <c r="C390" i="14"/>
  <c r="G391" i="14"/>
  <c r="G390" i="14" s="1"/>
  <c r="E391" i="14"/>
  <c r="H391" i="14" s="1"/>
  <c r="H390" i="14" s="1"/>
  <c r="D389" i="14"/>
  <c r="D388" i="14"/>
  <c r="D387" i="14"/>
  <c r="D386" i="14"/>
  <c r="D381" i="14"/>
  <c r="D380" i="14" s="1"/>
  <c r="D378" i="14"/>
  <c r="D377" i="14"/>
  <c r="D375" i="14"/>
  <c r="D373" i="14"/>
  <c r="D371" i="14"/>
  <c r="D365" i="14"/>
  <c r="D364" i="14" s="1"/>
  <c r="F365" i="14"/>
  <c r="F364" i="14" s="1"/>
  <c r="C365" i="14"/>
  <c r="C364" i="14" s="1"/>
  <c r="G366" i="14"/>
  <c r="G365" i="14" s="1"/>
  <c r="G364" i="14" s="1"/>
  <c r="E366" i="14"/>
  <c r="H366" i="14" s="1"/>
  <c r="H365" i="14" s="1"/>
  <c r="H364" i="14" s="1"/>
  <c r="D360" i="14"/>
  <c r="C352" i="14"/>
  <c r="F352" i="14"/>
  <c r="D353" i="14"/>
  <c r="D352" i="14" s="1"/>
  <c r="E354" i="14"/>
  <c r="H354" i="14" s="1"/>
  <c r="D350" i="14"/>
  <c r="D349" i="14"/>
  <c r="D347" i="14"/>
  <c r="D345" i="14"/>
  <c r="D343" i="14"/>
  <c r="D342" i="14"/>
  <c r="D340" i="14"/>
  <c r="D339" i="14"/>
  <c r="D336" i="14"/>
  <c r="D335" i="14"/>
  <c r="D333" i="14"/>
  <c r="D331" i="14"/>
  <c r="D330" i="14"/>
  <c r="D329" i="14"/>
  <c r="D328" i="14"/>
  <c r="D327" i="14"/>
  <c r="D326" i="14"/>
  <c r="D325" i="14"/>
  <c r="D323" i="14"/>
  <c r="D321" i="14"/>
  <c r="D320" i="14"/>
  <c r="D319" i="14"/>
  <c r="D318" i="14"/>
  <c r="D313" i="14"/>
  <c r="D312" i="14"/>
  <c r="D311" i="14"/>
  <c r="D308" i="14"/>
  <c r="D307" i="14"/>
  <c r="D306" i="14"/>
  <c r="D305" i="14"/>
  <c r="D304" i="14"/>
  <c r="D302" i="14"/>
  <c r="D301" i="14"/>
  <c r="D300" i="14"/>
  <c r="D298" i="14"/>
  <c r="D296" i="14"/>
  <c r="D294" i="14"/>
  <c r="D289" i="14"/>
  <c r="D288" i="14"/>
  <c r="D287" i="14"/>
  <c r="D286" i="14"/>
  <c r="D282" i="14"/>
  <c r="D281" i="14"/>
  <c r="D280" i="14"/>
  <c r="D279" i="14"/>
  <c r="D278" i="14"/>
  <c r="G272" i="14"/>
  <c r="E273" i="14"/>
  <c r="H273" i="14" s="1"/>
  <c r="H272" i="14" s="1"/>
  <c r="F272" i="14"/>
  <c r="D272" i="14"/>
  <c r="C272" i="14"/>
  <c r="D250" i="14"/>
  <c r="D255" i="14"/>
  <c r="F250" i="14"/>
  <c r="C250" i="14"/>
  <c r="G251" i="14"/>
  <c r="G250" i="14" s="1"/>
  <c r="E251" i="14"/>
  <c r="E250" i="14" s="1"/>
  <c r="D247" i="14"/>
  <c r="D246" i="14"/>
  <c r="D241" i="14"/>
  <c r="D239" i="14"/>
  <c r="D237" i="14"/>
  <c r="E231" i="14"/>
  <c r="E230" i="14" s="1"/>
  <c r="F230" i="14"/>
  <c r="C230" i="14"/>
  <c r="G231" i="14"/>
  <c r="G230" i="14" s="1"/>
  <c r="D232" i="14"/>
  <c r="F232" i="14"/>
  <c r="F229" i="14" s="1"/>
  <c r="C232" i="14"/>
  <c r="C229" i="14" s="1"/>
  <c r="D228" i="14"/>
  <c r="D226" i="14"/>
  <c r="C214" i="14"/>
  <c r="C223" i="14"/>
  <c r="G224" i="14"/>
  <c r="G223" i="14" s="1"/>
  <c r="D223" i="14"/>
  <c r="F223" i="14"/>
  <c r="D222" i="14"/>
  <c r="D221" i="14"/>
  <c r="D220" i="14"/>
  <c r="D216" i="14"/>
  <c r="D215" i="14"/>
  <c r="D209" i="14"/>
  <c r="F209" i="14"/>
  <c r="G209" i="14"/>
  <c r="C209" i="14"/>
  <c r="E210" i="14"/>
  <c r="H210" i="14" s="1"/>
  <c r="H209" i="14" s="1"/>
  <c r="D201" i="14"/>
  <c r="D199" i="14"/>
  <c r="D197" i="14"/>
  <c r="D194" i="14"/>
  <c r="D187" i="14"/>
  <c r="D186" i="14"/>
  <c r="D181" i="14"/>
  <c r="E627" i="14" l="1"/>
  <c r="E626" i="14" s="1"/>
  <c r="H628" i="14"/>
  <c r="H627" i="14" s="1"/>
  <c r="H626" i="14" s="1"/>
  <c r="F615" i="14"/>
  <c r="E620" i="14"/>
  <c r="E619" i="14" s="1"/>
  <c r="E615" i="14"/>
  <c r="D615" i="14"/>
  <c r="E475" i="14"/>
  <c r="C722" i="14"/>
  <c r="E697" i="14"/>
  <c r="E696" i="14" s="1"/>
  <c r="E660" i="14"/>
  <c r="E659" i="14" s="1"/>
  <c r="E647" i="14"/>
  <c r="F636" i="14"/>
  <c r="D640" i="14"/>
  <c r="D636" i="14" s="1"/>
  <c r="C643" i="14"/>
  <c r="C636" i="14" s="1"/>
  <c r="H644" i="14"/>
  <c r="H643" i="14" s="1"/>
  <c r="G644" i="14"/>
  <c r="G643" i="14" s="1"/>
  <c r="G636" i="14" s="1"/>
  <c r="E642" i="14"/>
  <c r="H642" i="14" s="1"/>
  <c r="H640" i="14" s="1"/>
  <c r="E644" i="14"/>
  <c r="E643" i="14" s="1"/>
  <c r="E637" i="14"/>
  <c r="H639" i="14"/>
  <c r="H637" i="14" s="1"/>
  <c r="G509" i="14"/>
  <c r="H509" i="14"/>
  <c r="H576" i="14"/>
  <c r="E509" i="14"/>
  <c r="E390" i="14"/>
  <c r="E365" i="14"/>
  <c r="E364" i="14" s="1"/>
  <c r="E272" i="14"/>
  <c r="H251" i="14"/>
  <c r="H250" i="14" s="1"/>
  <c r="D230" i="14"/>
  <c r="D229" i="14" s="1"/>
  <c r="H231" i="14"/>
  <c r="H230" i="14" s="1"/>
  <c r="E224" i="14"/>
  <c r="E209" i="14"/>
  <c r="D116" i="14"/>
  <c r="D161" i="14"/>
  <c r="D120" i="14"/>
  <c r="D59" i="14"/>
  <c r="D77" i="14"/>
  <c r="D113" i="14"/>
  <c r="D119" i="14"/>
  <c r="D130" i="14"/>
  <c r="D99" i="14"/>
  <c r="D56" i="14"/>
  <c r="D175" i="14"/>
  <c r="D171" i="14"/>
  <c r="D170" i="14"/>
  <c r="D169" i="14"/>
  <c r="D168" i="14"/>
  <c r="D164" i="14"/>
  <c r="D162" i="14"/>
  <c r="D160" i="14"/>
  <c r="D151" i="14"/>
  <c r="E151" i="14" s="1"/>
  <c r="D149" i="14"/>
  <c r="D147" i="14"/>
  <c r="E147" i="14" s="1"/>
  <c r="D146" i="14"/>
  <c r="D145" i="14"/>
  <c r="D144" i="14"/>
  <c r="D139" i="14"/>
  <c r="D138" i="14"/>
  <c r="D135" i="14"/>
  <c r="D134" i="14"/>
  <c r="D132" i="14"/>
  <c r="E132" i="14" s="1"/>
  <c r="D131" i="14"/>
  <c r="D124" i="14"/>
  <c r="D122" i="14" s="1"/>
  <c r="E123" i="14"/>
  <c r="D118" i="14"/>
  <c r="D117" i="14"/>
  <c r="D114" i="14"/>
  <c r="D112" i="14"/>
  <c r="D110" i="14"/>
  <c r="D109" i="14"/>
  <c r="D108" i="14"/>
  <c r="D107" i="14"/>
  <c r="D105" i="14"/>
  <c r="D103" i="14"/>
  <c r="D102" i="14"/>
  <c r="D101" i="14"/>
  <c r="D100" i="14"/>
  <c r="D98" i="14"/>
  <c r="D97" i="14"/>
  <c r="D96" i="14"/>
  <c r="F95" i="14"/>
  <c r="F90" i="14"/>
  <c r="C90" i="14"/>
  <c r="G94" i="14"/>
  <c r="E94" i="14"/>
  <c r="D92" i="14"/>
  <c r="D91" i="14"/>
  <c r="D89" i="14"/>
  <c r="D88" i="14"/>
  <c r="D86" i="14"/>
  <c r="D87" i="14"/>
  <c r="D85" i="14"/>
  <c r="D84" i="14"/>
  <c r="D83" i="14"/>
  <c r="D81" i="14"/>
  <c r="D80" i="14"/>
  <c r="D78" i="14"/>
  <c r="D75" i="14"/>
  <c r="D74" i="14"/>
  <c r="D73" i="14"/>
  <c r="D70" i="14"/>
  <c r="D69" i="14"/>
  <c r="D68" i="14"/>
  <c r="D67" i="14"/>
  <c r="D66" i="14"/>
  <c r="D65" i="14"/>
  <c r="D63" i="14"/>
  <c r="D61" i="14"/>
  <c r="D60" i="14"/>
  <c r="D54" i="14"/>
  <c r="D52" i="14"/>
  <c r="D51" i="14"/>
  <c r="D50" i="14"/>
  <c r="D49" i="14"/>
  <c r="D48" i="14"/>
  <c r="D47" i="14"/>
  <c r="D46" i="14"/>
  <c r="D43" i="14"/>
  <c r="D42" i="14"/>
  <c r="D40" i="14"/>
  <c r="D39" i="14"/>
  <c r="D38" i="14"/>
  <c r="D37" i="14"/>
  <c r="D36" i="14"/>
  <c r="D35" i="14"/>
  <c r="D34" i="14"/>
  <c r="D31" i="14"/>
  <c r="D29" i="14"/>
  <c r="D27" i="14"/>
  <c r="D26" i="14"/>
  <c r="D25" i="14"/>
  <c r="D23" i="14"/>
  <c r="D21" i="14"/>
  <c r="D20" i="14"/>
  <c r="D17" i="14"/>
  <c r="D15" i="14" s="1"/>
  <c r="D14" i="14"/>
  <c r="E14" i="14" s="1"/>
  <c r="H14" i="14" s="1"/>
  <c r="E640" i="14" l="1"/>
  <c r="E636" i="14" s="1"/>
  <c r="H660" i="14"/>
  <c r="H659" i="14" s="1"/>
  <c r="H636" i="14"/>
  <c r="D19" i="14"/>
  <c r="D90" i="14"/>
  <c r="H94" i="14"/>
  <c r="H224" i="14"/>
  <c r="H223" i="14" s="1"/>
  <c r="E223" i="14"/>
  <c r="E124" i="14"/>
  <c r="E719" i="14"/>
  <c r="E718" i="14" s="1"/>
  <c r="E717" i="14" s="1"/>
  <c r="D718" i="14"/>
  <c r="D717" i="14" s="1"/>
  <c r="D716" i="14" s="1"/>
  <c r="D715" i="14" s="1"/>
  <c r="D714" i="14" s="1"/>
  <c r="F718" i="14"/>
  <c r="F717" i="14" s="1"/>
  <c r="C718" i="14"/>
  <c r="C717" i="14" s="1"/>
  <c r="G719" i="14"/>
  <c r="G718" i="14" s="1"/>
  <c r="G717" i="14" s="1"/>
  <c r="C692" i="14"/>
  <c r="C691" i="14" s="1"/>
  <c r="F669" i="14"/>
  <c r="G669" i="14" s="1"/>
  <c r="D687" i="14"/>
  <c r="F687" i="14"/>
  <c r="C687" i="14"/>
  <c r="G690" i="14"/>
  <c r="E690" i="14"/>
  <c r="H690" i="14" s="1"/>
  <c r="G683" i="14"/>
  <c r="E683" i="14"/>
  <c r="H683" i="14" s="1"/>
  <c r="G682" i="14"/>
  <c r="E682" i="14"/>
  <c r="H682" i="14" s="1"/>
  <c r="G681" i="14"/>
  <c r="E681" i="14"/>
  <c r="H681" i="14" s="1"/>
  <c r="G680" i="14"/>
  <c r="E680" i="14"/>
  <c r="H680" i="14" s="1"/>
  <c r="F679" i="14"/>
  <c r="D679" i="14"/>
  <c r="C679" i="14"/>
  <c r="G678" i="14"/>
  <c r="G677" i="14" s="1"/>
  <c r="E678" i="14"/>
  <c r="H678" i="14" s="1"/>
  <c r="H677" i="14" s="1"/>
  <c r="F677" i="14"/>
  <c r="D677" i="14"/>
  <c r="C677" i="14"/>
  <c r="G676" i="14"/>
  <c r="E676" i="14"/>
  <c r="H676" i="14" s="1"/>
  <c r="G675" i="14"/>
  <c r="E675" i="14"/>
  <c r="H675" i="14" s="1"/>
  <c r="G674" i="14"/>
  <c r="E674" i="14"/>
  <c r="H674" i="14" s="1"/>
  <c r="G673" i="14"/>
  <c r="E673" i="14"/>
  <c r="H673" i="14" s="1"/>
  <c r="G672" i="14"/>
  <c r="E672" i="14"/>
  <c r="H672" i="14" s="1"/>
  <c r="G671" i="14"/>
  <c r="E671" i="14"/>
  <c r="H671" i="14" s="1"/>
  <c r="G670" i="14"/>
  <c r="E670" i="14"/>
  <c r="H670" i="14" s="1"/>
  <c r="E669" i="14"/>
  <c r="H669" i="14" s="1"/>
  <c r="D668" i="14"/>
  <c r="C668" i="14"/>
  <c r="D590" i="14"/>
  <c r="F590" i="14"/>
  <c r="C590" i="14"/>
  <c r="G591" i="14"/>
  <c r="E591" i="14"/>
  <c r="H591" i="14" s="1"/>
  <c r="D585" i="14"/>
  <c r="F585" i="14"/>
  <c r="C585" i="14"/>
  <c r="G589" i="14"/>
  <c r="E589" i="14"/>
  <c r="H589" i="14" s="1"/>
  <c r="G588" i="14"/>
  <c r="E588" i="14"/>
  <c r="H588" i="14" s="1"/>
  <c r="G587" i="14"/>
  <c r="E587" i="14"/>
  <c r="H587" i="14" s="1"/>
  <c r="G586" i="14"/>
  <c r="E586" i="14"/>
  <c r="H586" i="14" s="1"/>
  <c r="G579" i="14"/>
  <c r="G578" i="14" s="1"/>
  <c r="E579" i="14"/>
  <c r="H579" i="14" s="1"/>
  <c r="H578" i="14" s="1"/>
  <c r="F578" i="14"/>
  <c r="D578" i="14"/>
  <c r="C578" i="14"/>
  <c r="E575" i="14"/>
  <c r="D552" i="14"/>
  <c r="F552" i="14"/>
  <c r="C552" i="14"/>
  <c r="G554" i="14"/>
  <c r="E554" i="14"/>
  <c r="H554" i="14" s="1"/>
  <c r="G537" i="14"/>
  <c r="E537" i="14"/>
  <c r="H537" i="14" s="1"/>
  <c r="G536" i="14"/>
  <c r="E536" i="14"/>
  <c r="H536" i="14" s="1"/>
  <c r="G535" i="14"/>
  <c r="E535" i="14"/>
  <c r="H535" i="14" s="1"/>
  <c r="G534" i="14"/>
  <c r="E534" i="14"/>
  <c r="H534" i="14" s="1"/>
  <c r="G533" i="14"/>
  <c r="E533" i="14"/>
  <c r="H533" i="14" s="1"/>
  <c r="F532" i="14"/>
  <c r="D532" i="14"/>
  <c r="C532" i="14"/>
  <c r="G529" i="14"/>
  <c r="E529" i="14"/>
  <c r="H529" i="14" s="1"/>
  <c r="G528" i="14"/>
  <c r="E528" i="14"/>
  <c r="H528" i="14" s="1"/>
  <c r="G527" i="14"/>
  <c r="E527" i="14"/>
  <c r="H527" i="14" s="1"/>
  <c r="G526" i="14"/>
  <c r="E526" i="14"/>
  <c r="H526" i="14" s="1"/>
  <c r="G525" i="14"/>
  <c r="E525" i="14"/>
  <c r="H525" i="14" s="1"/>
  <c r="G524" i="14"/>
  <c r="E524" i="14"/>
  <c r="H524" i="14" s="1"/>
  <c r="G523" i="14"/>
  <c r="E523" i="14"/>
  <c r="H523" i="14" s="1"/>
  <c r="G522" i="14"/>
  <c r="E522" i="14"/>
  <c r="H522" i="14" s="1"/>
  <c r="F521" i="14"/>
  <c r="D521" i="14"/>
  <c r="C521" i="14"/>
  <c r="C501" i="14"/>
  <c r="G507" i="14"/>
  <c r="E507" i="14"/>
  <c r="H507" i="14" s="1"/>
  <c r="G506" i="14"/>
  <c r="E506" i="14"/>
  <c r="H506" i="14" s="1"/>
  <c r="G505" i="14"/>
  <c r="E505" i="14"/>
  <c r="H505" i="14" s="1"/>
  <c r="G504" i="14"/>
  <c r="E504" i="14"/>
  <c r="H504" i="14" s="1"/>
  <c r="G503" i="14"/>
  <c r="E503" i="14"/>
  <c r="H503" i="14" s="1"/>
  <c r="G502" i="14"/>
  <c r="E502" i="14"/>
  <c r="H502" i="14" s="1"/>
  <c r="F501" i="14"/>
  <c r="D501" i="14"/>
  <c r="D498" i="14"/>
  <c r="F498" i="14"/>
  <c r="C498" i="14"/>
  <c r="G500" i="14"/>
  <c r="E500" i="14"/>
  <c r="H500" i="14" s="1"/>
  <c r="D444" i="14"/>
  <c r="F444" i="14"/>
  <c r="C444" i="14"/>
  <c r="G447" i="14"/>
  <c r="E447" i="14"/>
  <c r="H447" i="14" s="1"/>
  <c r="F401" i="14"/>
  <c r="F399" i="14"/>
  <c r="F395" i="14"/>
  <c r="C392" i="14"/>
  <c r="D392" i="14"/>
  <c r="F392" i="14"/>
  <c r="F385" i="14"/>
  <c r="C385" i="14"/>
  <c r="C401" i="14"/>
  <c r="F424" i="14"/>
  <c r="F415" i="14"/>
  <c r="F431" i="14"/>
  <c r="F440" i="14"/>
  <c r="F435" i="14" s="1"/>
  <c r="E440" i="14"/>
  <c r="G439" i="14"/>
  <c r="E439" i="14"/>
  <c r="H439" i="14" s="1"/>
  <c r="G438" i="14"/>
  <c r="E438" i="14"/>
  <c r="H438" i="14" s="1"/>
  <c r="G437" i="14"/>
  <c r="E437" i="14"/>
  <c r="H437" i="14" s="1"/>
  <c r="G436" i="14"/>
  <c r="E436" i="14"/>
  <c r="H436" i="14" s="1"/>
  <c r="G434" i="14"/>
  <c r="E434" i="14"/>
  <c r="H434" i="14" s="1"/>
  <c r="G433" i="14"/>
  <c r="E433" i="14"/>
  <c r="H433" i="14" s="1"/>
  <c r="G432" i="14"/>
  <c r="E432" i="14"/>
  <c r="H432" i="14" s="1"/>
  <c r="G430" i="14"/>
  <c r="E430" i="14"/>
  <c r="H430" i="14" s="1"/>
  <c r="G429" i="14"/>
  <c r="E429" i="14"/>
  <c r="H429" i="14" s="1"/>
  <c r="G428" i="14"/>
  <c r="E428" i="14"/>
  <c r="H428" i="14" s="1"/>
  <c r="G427" i="14"/>
  <c r="E427" i="14"/>
  <c r="H427" i="14" s="1"/>
  <c r="G425" i="14"/>
  <c r="G424" i="14" s="1"/>
  <c r="E425" i="14"/>
  <c r="E424" i="14" s="1"/>
  <c r="G423" i="14"/>
  <c r="E423" i="14"/>
  <c r="H423" i="14" s="1"/>
  <c r="G422" i="14"/>
  <c r="E422" i="14"/>
  <c r="H422" i="14" s="1"/>
  <c r="G421" i="14"/>
  <c r="E421" i="14"/>
  <c r="H421" i="14" s="1"/>
  <c r="G420" i="14"/>
  <c r="E420" i="14"/>
  <c r="H420" i="14" s="1"/>
  <c r="G419" i="14"/>
  <c r="E419" i="14"/>
  <c r="H419" i="14" s="1"/>
  <c r="G418" i="14"/>
  <c r="E418" i="14"/>
  <c r="H418" i="14" s="1"/>
  <c r="G417" i="14"/>
  <c r="E417" i="14"/>
  <c r="H417" i="14" s="1"/>
  <c r="G416" i="14"/>
  <c r="E416" i="14"/>
  <c r="H416" i="14" s="1"/>
  <c r="G414" i="14"/>
  <c r="E414" i="14"/>
  <c r="H414" i="14" s="1"/>
  <c r="G413" i="14"/>
  <c r="E413" i="14"/>
  <c r="H413" i="14" s="1"/>
  <c r="G412" i="14"/>
  <c r="E412" i="14"/>
  <c r="H412" i="14" s="1"/>
  <c r="G411" i="14"/>
  <c r="E411" i="14"/>
  <c r="H411" i="14" s="1"/>
  <c r="G410" i="14"/>
  <c r="E410" i="14"/>
  <c r="H410" i="14" s="1"/>
  <c r="G407" i="14"/>
  <c r="E407" i="14"/>
  <c r="H407" i="14" s="1"/>
  <c r="G406" i="14"/>
  <c r="E406" i="14"/>
  <c r="H406" i="14" s="1"/>
  <c r="G405" i="14"/>
  <c r="E405" i="14"/>
  <c r="H405" i="14" s="1"/>
  <c r="G404" i="14"/>
  <c r="E404" i="14"/>
  <c r="H404" i="14" s="1"/>
  <c r="G403" i="14"/>
  <c r="E403" i="14"/>
  <c r="H403" i="14" s="1"/>
  <c r="G400" i="14"/>
  <c r="G399" i="14" s="1"/>
  <c r="E400" i="14"/>
  <c r="H400" i="14" s="1"/>
  <c r="H399" i="14" s="1"/>
  <c r="G398" i="14"/>
  <c r="E398" i="14"/>
  <c r="H398" i="14" s="1"/>
  <c r="G397" i="14"/>
  <c r="E397" i="14"/>
  <c r="H397" i="14" s="1"/>
  <c r="G396" i="14"/>
  <c r="E396" i="14"/>
  <c r="H396" i="14" s="1"/>
  <c r="C399" i="14"/>
  <c r="D435" i="14"/>
  <c r="C435" i="14"/>
  <c r="D431" i="14"/>
  <c r="C431" i="14"/>
  <c r="F426" i="14"/>
  <c r="D426" i="14"/>
  <c r="C426" i="14"/>
  <c r="D424" i="14"/>
  <c r="C424" i="14"/>
  <c r="D415" i="14"/>
  <c r="C415" i="14"/>
  <c r="F409" i="14"/>
  <c r="D409" i="14"/>
  <c r="C409" i="14"/>
  <c r="G402" i="14"/>
  <c r="E402" i="14"/>
  <c r="H402" i="14" s="1"/>
  <c r="D401" i="14"/>
  <c r="D399" i="14"/>
  <c r="D395" i="14"/>
  <c r="C395" i="14"/>
  <c r="G394" i="14"/>
  <c r="E394" i="14"/>
  <c r="H394" i="14" s="1"/>
  <c r="G393" i="14"/>
  <c r="E393" i="14"/>
  <c r="H393" i="14" s="1"/>
  <c r="D385" i="14"/>
  <c r="G388" i="14"/>
  <c r="E388" i="14"/>
  <c r="H388" i="14" s="1"/>
  <c r="D315" i="14"/>
  <c r="F315" i="14"/>
  <c r="C315" i="14"/>
  <c r="G316" i="14"/>
  <c r="G315" i="14" s="1"/>
  <c r="E316" i="14"/>
  <c r="H316" i="14" s="1"/>
  <c r="H315" i="14" s="1"/>
  <c r="G278" i="14"/>
  <c r="G279" i="14"/>
  <c r="G233" i="14"/>
  <c r="G232" i="14" s="1"/>
  <c r="G229" i="14" s="1"/>
  <c r="G228" i="14"/>
  <c r="E233" i="14"/>
  <c r="E232" i="14" s="1"/>
  <c r="E229" i="14" s="1"/>
  <c r="D154" i="14"/>
  <c r="F154" i="14"/>
  <c r="C154" i="14"/>
  <c r="G157" i="14"/>
  <c r="E157" i="14"/>
  <c r="F115" i="14"/>
  <c r="C716" i="14" l="1"/>
  <c r="C715" i="14" s="1"/>
  <c r="C714" i="14" s="1"/>
  <c r="F716" i="14"/>
  <c r="F715" i="14" s="1"/>
  <c r="G716" i="14"/>
  <c r="G715" i="14" s="1"/>
  <c r="E716" i="14"/>
  <c r="E715" i="14" s="1"/>
  <c r="F384" i="14"/>
  <c r="C384" i="14"/>
  <c r="H575" i="14"/>
  <c r="H574" i="14" s="1"/>
  <c r="E574" i="14"/>
  <c r="D384" i="14"/>
  <c r="F668" i="14"/>
  <c r="H157" i="14"/>
  <c r="E677" i="14"/>
  <c r="H719" i="14"/>
  <c r="H718" i="14" s="1"/>
  <c r="H717" i="14" s="1"/>
  <c r="E668" i="14"/>
  <c r="G679" i="14"/>
  <c r="G668" i="14"/>
  <c r="E679" i="14"/>
  <c r="H668" i="14"/>
  <c r="H679" i="14"/>
  <c r="E585" i="14"/>
  <c r="H585" i="14"/>
  <c r="G585" i="14"/>
  <c r="E578" i="14"/>
  <c r="G532" i="14"/>
  <c r="H532" i="14"/>
  <c r="E532" i="14"/>
  <c r="F408" i="14"/>
  <c r="H521" i="14"/>
  <c r="G521" i="14"/>
  <c r="E521" i="14"/>
  <c r="G501" i="14"/>
  <c r="H501" i="14"/>
  <c r="C408" i="14"/>
  <c r="E501" i="14"/>
  <c r="D408" i="14"/>
  <c r="G392" i="14"/>
  <c r="E392" i="14"/>
  <c r="G431" i="14"/>
  <c r="H425" i="14"/>
  <c r="H424" i="14" s="1"/>
  <c r="H440" i="14"/>
  <c r="H435" i="14" s="1"/>
  <c r="G440" i="14"/>
  <c r="G435" i="14" s="1"/>
  <c r="G426" i="14"/>
  <c r="G415" i="14"/>
  <c r="G395" i="14"/>
  <c r="G409" i="14"/>
  <c r="G401" i="14"/>
  <c r="E426" i="14"/>
  <c r="H395" i="14"/>
  <c r="H409" i="14"/>
  <c r="H401" i="14"/>
  <c r="H415" i="14"/>
  <c r="H431" i="14"/>
  <c r="H426" i="14"/>
  <c r="E395" i="14"/>
  <c r="E401" i="14"/>
  <c r="E415" i="14"/>
  <c r="E435" i="14"/>
  <c r="E399" i="14"/>
  <c r="E409" i="14"/>
  <c r="E431" i="14"/>
  <c r="H392" i="14"/>
  <c r="E315" i="14"/>
  <c r="H233" i="14"/>
  <c r="H232" i="14" s="1"/>
  <c r="H229" i="14" s="1"/>
  <c r="D650" i="14"/>
  <c r="F650" i="14"/>
  <c r="C650" i="14"/>
  <c r="G653" i="14"/>
  <c r="E653" i="14"/>
  <c r="H653" i="14" s="1"/>
  <c r="G603" i="14"/>
  <c r="G602" i="14" s="1"/>
  <c r="E603" i="14"/>
  <c r="H603" i="14" s="1"/>
  <c r="H602" i="14" s="1"/>
  <c r="F602" i="14"/>
  <c r="D602" i="14"/>
  <c r="C602" i="14"/>
  <c r="G553" i="14"/>
  <c r="G552" i="14" s="1"/>
  <c r="E553" i="14"/>
  <c r="D547" i="14"/>
  <c r="F547" i="14"/>
  <c r="C547" i="14"/>
  <c r="G549" i="14"/>
  <c r="E549" i="14"/>
  <c r="H549" i="14" s="1"/>
  <c r="F341" i="14"/>
  <c r="F185" i="14"/>
  <c r="F166" i="14"/>
  <c r="F152" i="14"/>
  <c r="F148" i="14"/>
  <c r="F143" i="14"/>
  <c r="D152" i="14"/>
  <c r="C152" i="14"/>
  <c r="G153" i="14"/>
  <c r="G152" i="14" s="1"/>
  <c r="E153" i="14"/>
  <c r="F122" i="14"/>
  <c r="D82" i="14"/>
  <c r="F82" i="14"/>
  <c r="C82" i="14"/>
  <c r="G87" i="14"/>
  <c r="E87" i="14"/>
  <c r="D76" i="14"/>
  <c r="F76" i="14"/>
  <c r="C76" i="14"/>
  <c r="G79" i="14"/>
  <c r="E79" i="14"/>
  <c r="F41" i="14"/>
  <c r="D41" i="14"/>
  <c r="C41" i="14"/>
  <c r="G44" i="14"/>
  <c r="E44" i="14"/>
  <c r="H716" i="14" l="1"/>
  <c r="H715" i="14" s="1"/>
  <c r="H44" i="14"/>
  <c r="H79" i="14"/>
  <c r="H87" i="14"/>
  <c r="E152" i="14"/>
  <c r="H153" i="14"/>
  <c r="H152" i="14" s="1"/>
  <c r="F383" i="14"/>
  <c r="H553" i="14"/>
  <c r="H552" i="14" s="1"/>
  <c r="E552" i="14"/>
  <c r="C383" i="14"/>
  <c r="D383" i="14"/>
  <c r="H408" i="14"/>
  <c r="G408" i="14"/>
  <c r="E408" i="14"/>
  <c r="E602" i="14"/>
  <c r="D572" i="14"/>
  <c r="D571" i="14" s="1"/>
  <c r="F572" i="14"/>
  <c r="F571" i="14" s="1"/>
  <c r="G665" i="14"/>
  <c r="E665" i="14"/>
  <c r="F334" i="14"/>
  <c r="F324" i="14"/>
  <c r="F317" i="14"/>
  <c r="F310" i="14"/>
  <c r="F184" i="14"/>
  <c r="F190" i="14"/>
  <c r="G186" i="14"/>
  <c r="F205" i="14"/>
  <c r="E139" i="14"/>
  <c r="E138" i="14"/>
  <c r="D158" i="14"/>
  <c r="F158" i="14"/>
  <c r="C158" i="14"/>
  <c r="G159" i="14"/>
  <c r="E159" i="14"/>
  <c r="G156" i="14"/>
  <c r="E156" i="14"/>
  <c r="G155" i="14"/>
  <c r="E155" i="14"/>
  <c r="D148" i="14"/>
  <c r="C148" i="14"/>
  <c r="G150" i="14"/>
  <c r="E150" i="14"/>
  <c r="D143" i="14"/>
  <c r="C143" i="14"/>
  <c r="G147" i="14"/>
  <c r="H147" i="14" s="1"/>
  <c r="H665" i="14" l="1"/>
  <c r="H150" i="14"/>
  <c r="H155" i="14"/>
  <c r="H159" i="14"/>
  <c r="H156" i="14"/>
  <c r="G154" i="14"/>
  <c r="E154" i="14"/>
  <c r="D692" i="14"/>
  <c r="D691" i="14" s="1"/>
  <c r="F692" i="14"/>
  <c r="F691" i="14" s="1"/>
  <c r="G694" i="14"/>
  <c r="E694" i="14"/>
  <c r="H694" i="14" s="1"/>
  <c r="G693" i="14"/>
  <c r="E693" i="14"/>
  <c r="H693" i="14" s="1"/>
  <c r="D684" i="14"/>
  <c r="F684" i="14"/>
  <c r="C684" i="14"/>
  <c r="G686" i="14"/>
  <c r="E686" i="14"/>
  <c r="H686" i="14" s="1"/>
  <c r="G685" i="14"/>
  <c r="E685" i="14"/>
  <c r="H685" i="14" s="1"/>
  <c r="C666" i="14"/>
  <c r="D666" i="14"/>
  <c r="D658" i="14" s="1"/>
  <c r="F666" i="14"/>
  <c r="F658" i="14" s="1"/>
  <c r="G667" i="14"/>
  <c r="G666" i="14" s="1"/>
  <c r="E667" i="14"/>
  <c r="H667" i="14" s="1"/>
  <c r="H666" i="14" s="1"/>
  <c r="D656" i="14"/>
  <c r="F656" i="14"/>
  <c r="D654" i="14"/>
  <c r="F654" i="14"/>
  <c r="C656" i="14"/>
  <c r="C654" i="14"/>
  <c r="G657" i="14"/>
  <c r="G656" i="14" s="1"/>
  <c r="E657" i="14"/>
  <c r="H657" i="14" s="1"/>
  <c r="H656" i="14" s="1"/>
  <c r="G655" i="14"/>
  <c r="G654" i="14" s="1"/>
  <c r="E655" i="14"/>
  <c r="E654" i="14" s="1"/>
  <c r="G652" i="14"/>
  <c r="E652" i="14"/>
  <c r="H652" i="14" s="1"/>
  <c r="G651" i="14"/>
  <c r="E651" i="14"/>
  <c r="C489" i="14"/>
  <c r="C492" i="14"/>
  <c r="D489" i="14"/>
  <c r="F489" i="14"/>
  <c r="C483" i="14"/>
  <c r="C480" i="14"/>
  <c r="C477" i="14"/>
  <c r="C470" i="14"/>
  <c r="C466" i="14"/>
  <c r="C544" i="14"/>
  <c r="C550" i="14"/>
  <c r="C555" i="14"/>
  <c r="F480" i="14"/>
  <c r="D463" i="14"/>
  <c r="F463" i="14"/>
  <c r="D539" i="14"/>
  <c r="F539" i="14"/>
  <c r="C539" i="14"/>
  <c r="G541" i="14"/>
  <c r="E541" i="14"/>
  <c r="H541" i="14" s="1"/>
  <c r="D512" i="14"/>
  <c r="F512" i="14"/>
  <c r="C512" i="14"/>
  <c r="C530" i="14"/>
  <c r="G531" i="14"/>
  <c r="G530" i="14" s="1"/>
  <c r="E531" i="14"/>
  <c r="H531" i="14" s="1"/>
  <c r="H530" i="14" s="1"/>
  <c r="F530" i="14"/>
  <c r="D530" i="14"/>
  <c r="G518" i="14"/>
  <c r="G517" i="14" s="1"/>
  <c r="E518" i="14"/>
  <c r="H518" i="14" s="1"/>
  <c r="H517" i="14" s="1"/>
  <c r="F517" i="14"/>
  <c r="D517" i="14"/>
  <c r="C517" i="14"/>
  <c r="G514" i="14"/>
  <c r="E514" i="14"/>
  <c r="H514" i="14" s="1"/>
  <c r="G499" i="14"/>
  <c r="G498" i="14" s="1"/>
  <c r="E499" i="14"/>
  <c r="D496" i="14"/>
  <c r="F496" i="14"/>
  <c r="C496" i="14"/>
  <c r="G497" i="14"/>
  <c r="G496" i="14" s="1"/>
  <c r="E497" i="14"/>
  <c r="H497" i="14" s="1"/>
  <c r="H496" i="14" s="1"/>
  <c r="D492" i="14"/>
  <c r="F492" i="14"/>
  <c r="G495" i="14"/>
  <c r="E495" i="14"/>
  <c r="H495" i="14" s="1"/>
  <c r="G494" i="14"/>
  <c r="E494" i="14"/>
  <c r="H494" i="14" s="1"/>
  <c r="G493" i="14"/>
  <c r="E493" i="14"/>
  <c r="H493" i="14" s="1"/>
  <c r="G491" i="14"/>
  <c r="E491" i="14"/>
  <c r="H491" i="14" s="1"/>
  <c r="G490" i="14"/>
  <c r="E490" i="14"/>
  <c r="H490" i="14" s="1"/>
  <c r="D483" i="14"/>
  <c r="F483" i="14"/>
  <c r="G488" i="14"/>
  <c r="E488" i="14"/>
  <c r="H488" i="14" s="1"/>
  <c r="G487" i="14"/>
  <c r="E487" i="14"/>
  <c r="H487" i="14" s="1"/>
  <c r="G481" i="14"/>
  <c r="G480" i="14" s="1"/>
  <c r="G479" i="14"/>
  <c r="G478" i="14"/>
  <c r="F477" i="14"/>
  <c r="G473" i="14"/>
  <c r="G474" i="14"/>
  <c r="E472" i="14"/>
  <c r="H472" i="14" s="1"/>
  <c r="F470" i="14"/>
  <c r="F469" i="14" s="1"/>
  <c r="E471" i="14"/>
  <c r="G471" i="14"/>
  <c r="G472" i="14"/>
  <c r="E481" i="14"/>
  <c r="H481" i="14" s="1"/>
  <c r="H480" i="14" s="1"/>
  <c r="D466" i="14"/>
  <c r="F466" i="14"/>
  <c r="G467" i="14"/>
  <c r="E467" i="14"/>
  <c r="H467" i="14" s="1"/>
  <c r="D449" i="14"/>
  <c r="F449" i="14"/>
  <c r="C449" i="14"/>
  <c r="G450" i="14"/>
  <c r="G449" i="14" s="1"/>
  <c r="E450" i="14"/>
  <c r="E449" i="14" s="1"/>
  <c r="G446" i="14"/>
  <c r="E446" i="14"/>
  <c r="H446" i="14" s="1"/>
  <c r="G387" i="14"/>
  <c r="E387" i="14"/>
  <c r="H387" i="14" s="1"/>
  <c r="D376" i="14"/>
  <c r="F376" i="14"/>
  <c r="C376" i="14"/>
  <c r="C370" i="14"/>
  <c r="D379" i="14"/>
  <c r="F380" i="14"/>
  <c r="F379" i="14" s="1"/>
  <c r="C380" i="14"/>
  <c r="C379" i="14" s="1"/>
  <c r="C374" i="14"/>
  <c r="G381" i="14"/>
  <c r="G380" i="14" s="1"/>
  <c r="G379" i="14" s="1"/>
  <c r="E381" i="14"/>
  <c r="H381" i="14" s="1"/>
  <c r="H380" i="14" s="1"/>
  <c r="H379" i="14" s="1"/>
  <c r="G378" i="14"/>
  <c r="E378" i="14"/>
  <c r="H378" i="14" s="1"/>
  <c r="G377" i="14"/>
  <c r="E377" i="14"/>
  <c r="H377" i="14" s="1"/>
  <c r="C372" i="14"/>
  <c r="G373" i="14"/>
  <c r="G372" i="14" s="1"/>
  <c r="E373" i="14"/>
  <c r="H373" i="14" s="1"/>
  <c r="H372" i="14" s="1"/>
  <c r="F372" i="14"/>
  <c r="D372" i="14"/>
  <c r="G371" i="14"/>
  <c r="G370" i="14" s="1"/>
  <c r="E371" i="14"/>
  <c r="H371" i="14" s="1"/>
  <c r="H370" i="14" s="1"/>
  <c r="F370" i="14"/>
  <c r="D370" i="14"/>
  <c r="D332" i="14"/>
  <c r="F332" i="14"/>
  <c r="C332" i="14"/>
  <c r="C334" i="14"/>
  <c r="C348" i="14"/>
  <c r="C346" i="14"/>
  <c r="C344" i="14"/>
  <c r="C341" i="14"/>
  <c r="C338" i="14"/>
  <c r="C324" i="14"/>
  <c r="C322" i="14"/>
  <c r="C317" i="14"/>
  <c r="C310" i="14"/>
  <c r="C303" i="14"/>
  <c r="C299" i="14"/>
  <c r="C297" i="14"/>
  <c r="C295" i="14"/>
  <c r="C291" i="14"/>
  <c r="C285" i="14"/>
  <c r="C283" i="14"/>
  <c r="C277" i="14"/>
  <c r="D324" i="14"/>
  <c r="D317" i="14"/>
  <c r="D310" i="14"/>
  <c r="D303" i="14"/>
  <c r="F303" i="14"/>
  <c r="D277" i="14"/>
  <c r="F277" i="14"/>
  <c r="D261" i="14"/>
  <c r="F261" i="14"/>
  <c r="D348" i="14"/>
  <c r="F348" i="14"/>
  <c r="G350" i="14"/>
  <c r="E350" i="14"/>
  <c r="H350" i="14" s="1"/>
  <c r="G347" i="14"/>
  <c r="G346" i="14" s="1"/>
  <c r="E347" i="14"/>
  <c r="H347" i="14" s="1"/>
  <c r="H346" i="14" s="1"/>
  <c r="F346" i="14"/>
  <c r="D346" i="14"/>
  <c r="D341" i="14"/>
  <c r="G343" i="14"/>
  <c r="E343" i="14"/>
  <c r="H343" i="14" s="1"/>
  <c r="G342" i="14"/>
  <c r="E342" i="14"/>
  <c r="G333" i="14"/>
  <c r="G332" i="14" s="1"/>
  <c r="E333" i="14"/>
  <c r="H333" i="14" s="1"/>
  <c r="H332" i="14" s="1"/>
  <c r="G329" i="14"/>
  <c r="E329" i="14"/>
  <c r="H329" i="14" s="1"/>
  <c r="G330" i="14"/>
  <c r="E330" i="14"/>
  <c r="H330" i="14" s="1"/>
  <c r="G327" i="14"/>
  <c r="E327" i="14"/>
  <c r="H327" i="14" s="1"/>
  <c r="G321" i="14"/>
  <c r="E321" i="14"/>
  <c r="H321" i="14" s="1"/>
  <c r="G313" i="14"/>
  <c r="E313" i="14"/>
  <c r="H313" i="14" s="1"/>
  <c r="G312" i="14"/>
  <c r="E312" i="14"/>
  <c r="H312" i="14" s="1"/>
  <c r="G308" i="14"/>
  <c r="E308" i="14"/>
  <c r="H308" i="14" s="1"/>
  <c r="G307" i="14"/>
  <c r="E307" i="14"/>
  <c r="H307" i="14" s="1"/>
  <c r="G306" i="14"/>
  <c r="E306" i="14"/>
  <c r="H306" i="14" s="1"/>
  <c r="G305" i="14"/>
  <c r="E305" i="14"/>
  <c r="G304" i="14"/>
  <c r="E304" i="14"/>
  <c r="H304" i="14" s="1"/>
  <c r="D299" i="14"/>
  <c r="F299" i="14"/>
  <c r="G302" i="14"/>
  <c r="E302" i="14"/>
  <c r="H302" i="14" s="1"/>
  <c r="G300" i="14"/>
  <c r="E300" i="14"/>
  <c r="H300" i="14" s="1"/>
  <c r="D295" i="14"/>
  <c r="F295" i="14"/>
  <c r="G298" i="14"/>
  <c r="G297" i="14" s="1"/>
  <c r="E298" i="14"/>
  <c r="H298" i="14" s="1"/>
  <c r="H297" i="14" s="1"/>
  <c r="F297" i="14"/>
  <c r="D297" i="14"/>
  <c r="D291" i="14"/>
  <c r="F291" i="14"/>
  <c r="G294" i="14"/>
  <c r="E294" i="14"/>
  <c r="H294" i="14" s="1"/>
  <c r="D285" i="14"/>
  <c r="F285" i="14"/>
  <c r="G289" i="14"/>
  <c r="E289" i="14"/>
  <c r="H289" i="14" s="1"/>
  <c r="G288" i="14"/>
  <c r="E288" i="14"/>
  <c r="H288" i="14" s="1"/>
  <c r="E287" i="14"/>
  <c r="G286" i="14"/>
  <c r="E286" i="14"/>
  <c r="H286" i="14" s="1"/>
  <c r="G281" i="14"/>
  <c r="E281" i="14"/>
  <c r="H281" i="14" s="1"/>
  <c r="F245" i="14"/>
  <c r="D240" i="14"/>
  <c r="F240" i="14"/>
  <c r="D238" i="14"/>
  <c r="F238" i="14"/>
  <c r="D235" i="14"/>
  <c r="F235" i="14"/>
  <c r="D227" i="14"/>
  <c r="F227" i="14"/>
  <c r="D225" i="14"/>
  <c r="F225" i="14"/>
  <c r="D214" i="14"/>
  <c r="F214" i="14"/>
  <c r="C218" i="14"/>
  <c r="C217" i="14" s="1"/>
  <c r="G241" i="14"/>
  <c r="G240" i="14" s="1"/>
  <c r="E241" i="14"/>
  <c r="H241" i="14" s="1"/>
  <c r="H240" i="14" s="1"/>
  <c r="C240" i="14"/>
  <c r="C227" i="14"/>
  <c r="G227" i="14"/>
  <c r="E228" i="14"/>
  <c r="D218" i="14"/>
  <c r="D217" i="14" s="1"/>
  <c r="F218" i="14"/>
  <c r="F217" i="14" s="1"/>
  <c r="G222" i="14"/>
  <c r="E222" i="14"/>
  <c r="H222" i="14" s="1"/>
  <c r="D193" i="14"/>
  <c r="F193" i="14"/>
  <c r="D184" i="14"/>
  <c r="C182" i="14"/>
  <c r="D179" i="14"/>
  <c r="F179" i="14"/>
  <c r="C179" i="14"/>
  <c r="C185" i="14"/>
  <c r="C184" i="14" s="1"/>
  <c r="C200" i="14"/>
  <c r="C198" i="14"/>
  <c r="C196" i="14"/>
  <c r="C193" i="14"/>
  <c r="C190" i="14"/>
  <c r="G201" i="14"/>
  <c r="G200" i="14" s="1"/>
  <c r="E201" i="14"/>
  <c r="H201" i="14" s="1"/>
  <c r="H200" i="14" s="1"/>
  <c r="F200" i="14"/>
  <c r="D200" i="14"/>
  <c r="G194" i="14"/>
  <c r="G193" i="14" s="1"/>
  <c r="E194" i="14"/>
  <c r="H194" i="14" s="1"/>
  <c r="H193" i="14" s="1"/>
  <c r="F12" i="14"/>
  <c r="D18" i="14"/>
  <c r="F19" i="14"/>
  <c r="F18" i="14" s="1"/>
  <c r="C19" i="14"/>
  <c r="C18" i="14" s="1"/>
  <c r="C15" i="14"/>
  <c r="C12" i="14"/>
  <c r="D166" i="14"/>
  <c r="C166" i="14"/>
  <c r="G171" i="14"/>
  <c r="E171" i="14"/>
  <c r="H171" i="14" s="1"/>
  <c r="G160" i="14"/>
  <c r="E160" i="14"/>
  <c r="G145" i="14"/>
  <c r="E145" i="14"/>
  <c r="D133" i="14"/>
  <c r="D129" i="14" s="1"/>
  <c r="F133" i="14"/>
  <c r="F129" i="14" s="1"/>
  <c r="C133" i="14"/>
  <c r="C129" i="14" s="1"/>
  <c r="F137" i="14"/>
  <c r="C137" i="14"/>
  <c r="G139" i="14"/>
  <c r="H139" i="14" s="1"/>
  <c r="G138" i="14"/>
  <c r="H138" i="14" s="1"/>
  <c r="G135" i="14"/>
  <c r="E135" i="14"/>
  <c r="D106" i="14"/>
  <c r="F106" i="14"/>
  <c r="C106" i="14"/>
  <c r="G110" i="14"/>
  <c r="E110" i="14"/>
  <c r="G109" i="14"/>
  <c r="E109" i="14"/>
  <c r="C95" i="14"/>
  <c r="G102" i="14"/>
  <c r="E102" i="14"/>
  <c r="G100" i="14"/>
  <c r="E100" i="14"/>
  <c r="G98" i="14"/>
  <c r="E98" i="14"/>
  <c r="G97" i="14"/>
  <c r="E97" i="14"/>
  <c r="G92" i="14"/>
  <c r="E92" i="14"/>
  <c r="C72" i="14"/>
  <c r="G75" i="14"/>
  <c r="E75" i="14"/>
  <c r="D72" i="14"/>
  <c r="F72" i="14"/>
  <c r="G70" i="14"/>
  <c r="E70" i="14"/>
  <c r="D64" i="14"/>
  <c r="F64" i="14"/>
  <c r="C64" i="14"/>
  <c r="D62" i="14"/>
  <c r="F62" i="14"/>
  <c r="C62" i="14"/>
  <c r="G63" i="14"/>
  <c r="G62" i="14" s="1"/>
  <c r="E63" i="14"/>
  <c r="D58" i="14"/>
  <c r="F58" i="14"/>
  <c r="C58" i="14"/>
  <c r="G60" i="14"/>
  <c r="E60" i="14"/>
  <c r="D45" i="14"/>
  <c r="F45" i="14"/>
  <c r="C45" i="14"/>
  <c r="G51" i="14"/>
  <c r="E51" i="14"/>
  <c r="G50" i="14"/>
  <c r="E50" i="14"/>
  <c r="G48" i="14"/>
  <c r="E48" i="14"/>
  <c r="G47" i="14"/>
  <c r="E47" i="14"/>
  <c r="D33" i="14"/>
  <c r="F33" i="14"/>
  <c r="C33" i="14"/>
  <c r="G36" i="14"/>
  <c r="E36" i="14"/>
  <c r="C28" i="14"/>
  <c r="G29" i="14"/>
  <c r="G28" i="14" s="1"/>
  <c r="E29" i="14"/>
  <c r="F28" i="14"/>
  <c r="D28" i="14"/>
  <c r="D24" i="14"/>
  <c r="F24" i="14"/>
  <c r="C24" i="14"/>
  <c r="G26" i="14"/>
  <c r="E26" i="14"/>
  <c r="H26" i="14" s="1"/>
  <c r="F15" i="14"/>
  <c r="G16" i="14"/>
  <c r="E16" i="14"/>
  <c r="H16" i="14" s="1"/>
  <c r="C658" i="14" l="1"/>
  <c r="H70" i="14"/>
  <c r="H75" i="14"/>
  <c r="H110" i="14"/>
  <c r="H160" i="14"/>
  <c r="C462" i="14"/>
  <c r="C469" i="14"/>
  <c r="D470" i="14"/>
  <c r="H109" i="14"/>
  <c r="H145" i="14"/>
  <c r="F462" i="14"/>
  <c r="H154" i="14"/>
  <c r="F213" i="14"/>
  <c r="D213" i="14"/>
  <c r="H48" i="14"/>
  <c r="H51" i="14"/>
  <c r="H47" i="14"/>
  <c r="H50" i="14"/>
  <c r="H36" i="14"/>
  <c r="H60" i="14"/>
  <c r="H92" i="14"/>
  <c r="H98" i="14"/>
  <c r="H102" i="14"/>
  <c r="F649" i="14"/>
  <c r="F635" i="14" s="1"/>
  <c r="D649" i="14"/>
  <c r="D635" i="14" s="1"/>
  <c r="H29" i="14"/>
  <c r="H28" i="14" s="1"/>
  <c r="H63" i="14"/>
  <c r="H62" i="14" s="1"/>
  <c r="H97" i="14"/>
  <c r="H100" i="14"/>
  <c r="H135" i="14"/>
  <c r="C649" i="14"/>
  <c r="F482" i="14"/>
  <c r="E474" i="14"/>
  <c r="H474" i="14" s="1"/>
  <c r="D482" i="14"/>
  <c r="C482" i="14"/>
  <c r="E470" i="14"/>
  <c r="H499" i="14"/>
  <c r="H498" i="14" s="1"/>
  <c r="E498" i="14"/>
  <c r="C309" i="14"/>
  <c r="H651" i="14"/>
  <c r="H650" i="14" s="1"/>
  <c r="E650" i="14"/>
  <c r="H228" i="14"/>
  <c r="H227" i="14" s="1"/>
  <c r="H376" i="14"/>
  <c r="C543" i="14"/>
  <c r="G650" i="14"/>
  <c r="G649" i="14" s="1"/>
  <c r="G341" i="14"/>
  <c r="E489" i="14"/>
  <c r="E137" i="14"/>
  <c r="F234" i="14"/>
  <c r="E332" i="14"/>
  <c r="G489" i="14"/>
  <c r="H684" i="14"/>
  <c r="H489" i="14"/>
  <c r="G684" i="14"/>
  <c r="C369" i="14"/>
  <c r="C368" i="14" s="1"/>
  <c r="G137" i="14"/>
  <c r="E341" i="14"/>
  <c r="G470" i="14"/>
  <c r="G469" i="14" s="1"/>
  <c r="E530" i="14"/>
  <c r="E480" i="14"/>
  <c r="E656" i="14"/>
  <c r="D480" i="14"/>
  <c r="C276" i="14"/>
  <c r="G376" i="14"/>
  <c r="H450" i="14"/>
  <c r="H449" i="14" s="1"/>
  <c r="E517" i="14"/>
  <c r="E684" i="14"/>
  <c r="E666" i="14"/>
  <c r="H655" i="14"/>
  <c r="H654" i="14" s="1"/>
  <c r="G492" i="14"/>
  <c r="C195" i="14"/>
  <c r="E479" i="14"/>
  <c r="H479" i="14" s="1"/>
  <c r="E496" i="14"/>
  <c r="C337" i="14"/>
  <c r="E372" i="14"/>
  <c r="E380" i="14"/>
  <c r="E379" i="14" s="1"/>
  <c r="E376" i="14"/>
  <c r="G477" i="14"/>
  <c r="E492" i="14"/>
  <c r="H492" i="14"/>
  <c r="H471" i="14"/>
  <c r="H470" i="14" s="1"/>
  <c r="E62" i="14"/>
  <c r="G303" i="14"/>
  <c r="E370" i="14"/>
  <c r="E303" i="14"/>
  <c r="E346" i="14"/>
  <c r="H342" i="14"/>
  <c r="H341" i="14" s="1"/>
  <c r="H305" i="14"/>
  <c r="H303" i="14" s="1"/>
  <c r="E297" i="14"/>
  <c r="H287" i="14"/>
  <c r="C178" i="14"/>
  <c r="E193" i="14"/>
  <c r="D137" i="14"/>
  <c r="E227" i="14"/>
  <c r="E240" i="14"/>
  <c r="D234" i="14"/>
  <c r="E200" i="14"/>
  <c r="H137" i="14"/>
  <c r="E28" i="14"/>
  <c r="C635" i="14" l="1"/>
  <c r="E649" i="14"/>
  <c r="H649" i="14"/>
  <c r="G633" i="14"/>
  <c r="G621" i="14"/>
  <c r="G613" i="14"/>
  <c r="G568" i="14"/>
  <c r="G353" i="14"/>
  <c r="G352" i="14" s="1"/>
  <c r="G311" i="14"/>
  <c r="G728" i="14" l="1"/>
  <c r="G727" i="14" s="1"/>
  <c r="G726" i="14" s="1"/>
  <c r="E729" i="14"/>
  <c r="H729" i="14" s="1"/>
  <c r="H728" i="14" s="1"/>
  <c r="H727" i="14" s="1"/>
  <c r="H726" i="14" s="1"/>
  <c r="F728" i="14"/>
  <c r="F727" i="14" s="1"/>
  <c r="F726" i="14" s="1"/>
  <c r="D728" i="14"/>
  <c r="D727" i="14" s="1"/>
  <c r="D726" i="14" s="1"/>
  <c r="C728" i="14"/>
  <c r="C727" i="14" s="1"/>
  <c r="C726" i="14" s="1"/>
  <c r="G610" i="14"/>
  <c r="G609" i="14" s="1"/>
  <c r="E610" i="14"/>
  <c r="F609" i="14"/>
  <c r="C609" i="14"/>
  <c r="G608" i="14"/>
  <c r="G607" i="14" s="1"/>
  <c r="D607" i="14"/>
  <c r="F607" i="14"/>
  <c r="C607" i="14"/>
  <c r="E484" i="14"/>
  <c r="D451" i="14"/>
  <c r="D448" i="14" s="1"/>
  <c r="F451" i="14"/>
  <c r="F448" i="14" s="1"/>
  <c r="C451" i="14"/>
  <c r="C448" i="14" s="1"/>
  <c r="G453" i="14"/>
  <c r="E453" i="14"/>
  <c r="G389" i="14"/>
  <c r="E389" i="14"/>
  <c r="H389" i="14" s="1"/>
  <c r="G375" i="14"/>
  <c r="E728" i="14" l="1"/>
  <c r="E727" i="14" s="1"/>
  <c r="E726" i="14" s="1"/>
  <c r="E621" i="14"/>
  <c r="D609" i="14"/>
  <c r="E609" i="14"/>
  <c r="H610" i="14"/>
  <c r="H609" i="14" s="1"/>
  <c r="E608" i="14"/>
  <c r="H453" i="14"/>
  <c r="H621" i="14" l="1"/>
  <c r="H608" i="14"/>
  <c r="H607" i="14" s="1"/>
  <c r="E607" i="14"/>
  <c r="E355" i="14" l="1"/>
  <c r="H355" i="14" s="1"/>
  <c r="E353" i="14"/>
  <c r="D254" i="14"/>
  <c r="F255" i="14"/>
  <c r="F254" i="14" s="1"/>
  <c r="E257" i="14"/>
  <c r="H257" i="14" s="1"/>
  <c r="C255" i="14"/>
  <c r="C254" i="14" s="1"/>
  <c r="C252" i="14"/>
  <c r="C249" i="14" s="1"/>
  <c r="G256" i="14"/>
  <c r="G255" i="14" s="1"/>
  <c r="G253" i="14"/>
  <c r="G252" i="14" s="1"/>
  <c r="G249" i="14" s="1"/>
  <c r="E253" i="14"/>
  <c r="F252" i="14"/>
  <c r="F249" i="14" s="1"/>
  <c r="E207" i="14"/>
  <c r="D190" i="14"/>
  <c r="G191" i="14"/>
  <c r="E191" i="14"/>
  <c r="H191" i="14" s="1"/>
  <c r="G187" i="14"/>
  <c r="G185" i="14" s="1"/>
  <c r="E187" i="14"/>
  <c r="H187" i="14" s="1"/>
  <c r="E183" i="14"/>
  <c r="H183" i="14" s="1"/>
  <c r="H182" i="14" s="1"/>
  <c r="G183" i="14"/>
  <c r="G182" i="14" s="1"/>
  <c r="F182" i="14"/>
  <c r="F178" i="14" s="1"/>
  <c r="D182" i="14"/>
  <c r="E85" i="14"/>
  <c r="E167" i="14"/>
  <c r="H167" i="14" s="1"/>
  <c r="E172" i="14"/>
  <c r="H172" i="14" s="1"/>
  <c r="F165" i="14"/>
  <c r="G168" i="14"/>
  <c r="E168" i="14"/>
  <c r="H168" i="14" s="1"/>
  <c r="C115" i="14"/>
  <c r="E105" i="14"/>
  <c r="E104" i="14" s="1"/>
  <c r="E13" i="14"/>
  <c r="H13" i="14" s="1"/>
  <c r="H353" i="14" l="1"/>
  <c r="H352" i="14" s="1"/>
  <c r="E352" i="14"/>
  <c r="D178" i="14"/>
  <c r="G254" i="14"/>
  <c r="E169" i="14"/>
  <c r="H169" i="14" s="1"/>
  <c r="D252" i="14"/>
  <c r="D249" i="14" s="1"/>
  <c r="D115" i="14"/>
  <c r="E252" i="14"/>
  <c r="E249" i="14" s="1"/>
  <c r="H253" i="14"/>
  <c r="H252" i="14" s="1"/>
  <c r="H249" i="14" s="1"/>
  <c r="E256" i="14"/>
  <c r="E255" i="14" s="1"/>
  <c r="E182" i="14"/>
  <c r="G714" i="14"/>
  <c r="F714" i="14"/>
  <c r="G712" i="14"/>
  <c r="E712" i="14"/>
  <c r="H712" i="14" s="1"/>
  <c r="G711" i="14"/>
  <c r="E711" i="14"/>
  <c r="H711" i="14" s="1"/>
  <c r="G710" i="14"/>
  <c r="E710" i="14"/>
  <c r="H710" i="14" s="1"/>
  <c r="F709" i="14"/>
  <c r="F708" i="14" s="1"/>
  <c r="D709" i="14"/>
  <c r="D708" i="14" s="1"/>
  <c r="C709" i="14"/>
  <c r="C708" i="14" s="1"/>
  <c r="G707" i="14"/>
  <c r="G706" i="14" s="1"/>
  <c r="G705" i="14" s="1"/>
  <c r="E707" i="14"/>
  <c r="F706" i="14"/>
  <c r="F705" i="14" s="1"/>
  <c r="D706" i="14"/>
  <c r="D705" i="14" s="1"/>
  <c r="C706" i="14"/>
  <c r="C705" i="14" s="1"/>
  <c r="G704" i="14"/>
  <c r="G703" i="14" s="1"/>
  <c r="G702" i="14" s="1"/>
  <c r="G701" i="14" s="1"/>
  <c r="E704" i="14"/>
  <c r="H704" i="14" s="1"/>
  <c r="H703" i="14" s="1"/>
  <c r="H702" i="14" s="1"/>
  <c r="H701" i="14" s="1"/>
  <c r="F703" i="14"/>
  <c r="F702" i="14" s="1"/>
  <c r="F701" i="14" s="1"/>
  <c r="D703" i="14"/>
  <c r="D702" i="14" s="1"/>
  <c r="D701" i="14" s="1"/>
  <c r="C703" i="14"/>
  <c r="C702" i="14" s="1"/>
  <c r="C701" i="14" s="1"/>
  <c r="G695" i="14"/>
  <c r="G692" i="14" s="1"/>
  <c r="G691" i="14" s="1"/>
  <c r="E695" i="14"/>
  <c r="E692" i="14" s="1"/>
  <c r="E691" i="14" s="1"/>
  <c r="G689" i="14"/>
  <c r="E689" i="14"/>
  <c r="G688" i="14"/>
  <c r="E688" i="14"/>
  <c r="H688" i="14" s="1"/>
  <c r="G663" i="14"/>
  <c r="E663" i="14"/>
  <c r="H663" i="14" s="1"/>
  <c r="G662" i="14"/>
  <c r="G632" i="14"/>
  <c r="G631" i="14" s="1"/>
  <c r="G630" i="14" s="1"/>
  <c r="E633" i="14"/>
  <c r="F632" i="14"/>
  <c r="F631" i="14" s="1"/>
  <c r="F630" i="14" s="1"/>
  <c r="C632" i="14"/>
  <c r="C631" i="14" s="1"/>
  <c r="C630" i="14" s="1"/>
  <c r="G625" i="14"/>
  <c r="G731" i="14" s="1"/>
  <c r="D625" i="14"/>
  <c r="F625" i="14"/>
  <c r="C625" i="14"/>
  <c r="E622" i="14"/>
  <c r="C619" i="14"/>
  <c r="C615" i="14" s="1"/>
  <c r="G612" i="14"/>
  <c r="G611" i="14" s="1"/>
  <c r="E613" i="14"/>
  <c r="F612" i="14"/>
  <c r="F611" i="14" s="1"/>
  <c r="C612" i="14"/>
  <c r="C611" i="14" s="1"/>
  <c r="G606" i="14"/>
  <c r="G605" i="14" s="1"/>
  <c r="G604" i="14" s="1"/>
  <c r="D605" i="14"/>
  <c r="D604" i="14" s="1"/>
  <c r="F605" i="14"/>
  <c r="F604" i="14" s="1"/>
  <c r="C605" i="14"/>
  <c r="C604" i="14" s="1"/>
  <c r="G601" i="14"/>
  <c r="E601" i="14"/>
  <c r="H601" i="14" s="1"/>
  <c r="G600" i="14"/>
  <c r="E600" i="14"/>
  <c r="H600" i="14" s="1"/>
  <c r="G599" i="14"/>
  <c r="E599" i="14"/>
  <c r="H599" i="14" s="1"/>
  <c r="G598" i="14"/>
  <c r="F597" i="14"/>
  <c r="F596" i="14" s="1"/>
  <c r="C597" i="14"/>
  <c r="C596" i="14" s="1"/>
  <c r="G595" i="14"/>
  <c r="E595" i="14"/>
  <c r="H595" i="14" s="1"/>
  <c r="G594" i="14"/>
  <c r="D593" i="14"/>
  <c r="D584" i="14" s="1"/>
  <c r="F593" i="14"/>
  <c r="F584" i="14" s="1"/>
  <c r="C593" i="14"/>
  <c r="C584" i="14" s="1"/>
  <c r="G592" i="14"/>
  <c r="G590" i="14" s="1"/>
  <c r="E592" i="14"/>
  <c r="G581" i="14"/>
  <c r="G580" i="14" s="1"/>
  <c r="G577" i="14" s="1"/>
  <c r="F580" i="14"/>
  <c r="F577" i="14" s="1"/>
  <c r="C580" i="14"/>
  <c r="C577" i="14" s="1"/>
  <c r="G573" i="14"/>
  <c r="C572" i="14"/>
  <c r="C571" i="14" s="1"/>
  <c r="E568" i="14"/>
  <c r="H568" i="14" s="1"/>
  <c r="E567" i="14"/>
  <c r="H567" i="14" s="1"/>
  <c r="E566" i="14"/>
  <c r="H566" i="14" s="1"/>
  <c r="E565" i="14"/>
  <c r="H565" i="14" s="1"/>
  <c r="E564" i="14"/>
  <c r="F563" i="14"/>
  <c r="F562" i="14" s="1"/>
  <c r="C563" i="14"/>
  <c r="C562" i="14" s="1"/>
  <c r="G561" i="14"/>
  <c r="G560" i="14" s="1"/>
  <c r="G559" i="14" s="1"/>
  <c r="D561" i="14"/>
  <c r="D560" i="14" s="1"/>
  <c r="D559" i="14" s="1"/>
  <c r="F560" i="14"/>
  <c r="F559" i="14" s="1"/>
  <c r="F558" i="14" s="1"/>
  <c r="C560" i="14"/>
  <c r="C559" i="14" s="1"/>
  <c r="G556" i="14"/>
  <c r="G555" i="14" s="1"/>
  <c r="E556" i="14"/>
  <c r="F555" i="14"/>
  <c r="D555" i="14"/>
  <c r="G551" i="14"/>
  <c r="G550" i="14" s="1"/>
  <c r="F550" i="14"/>
  <c r="G548" i="14"/>
  <c r="G547" i="14" s="1"/>
  <c r="E548" i="14"/>
  <c r="E547" i="14" s="1"/>
  <c r="G546" i="14"/>
  <c r="E546" i="14"/>
  <c r="H546" i="14" s="1"/>
  <c r="G545" i="14"/>
  <c r="F544" i="14"/>
  <c r="G542" i="14"/>
  <c r="E542" i="14"/>
  <c r="G540" i="14"/>
  <c r="E540" i="14"/>
  <c r="H540" i="14" s="1"/>
  <c r="F538" i="14"/>
  <c r="D538" i="14"/>
  <c r="C538" i="14"/>
  <c r="G520" i="14"/>
  <c r="G519" i="14" s="1"/>
  <c r="E520" i="14"/>
  <c r="F519" i="14"/>
  <c r="F508" i="14" s="1"/>
  <c r="C519" i="14"/>
  <c r="C508" i="14" s="1"/>
  <c r="G516" i="14"/>
  <c r="E516" i="14"/>
  <c r="H516" i="14" s="1"/>
  <c r="G515" i="14"/>
  <c r="E515" i="14"/>
  <c r="H515" i="14" s="1"/>
  <c r="G513" i="14"/>
  <c r="E513" i="14"/>
  <c r="G486" i="14"/>
  <c r="E486" i="14"/>
  <c r="H486" i="14" s="1"/>
  <c r="G485" i="14"/>
  <c r="E485" i="14"/>
  <c r="G484" i="14"/>
  <c r="G468" i="14"/>
  <c r="G466" i="14" s="1"/>
  <c r="E468" i="14"/>
  <c r="E466" i="14" s="1"/>
  <c r="G465" i="14"/>
  <c r="E465" i="14"/>
  <c r="G464" i="14"/>
  <c r="E464" i="14"/>
  <c r="H464" i="14" s="1"/>
  <c r="G459" i="14"/>
  <c r="G458" i="14" s="1"/>
  <c r="D458" i="14"/>
  <c r="F458" i="14"/>
  <c r="C458" i="14"/>
  <c r="G457" i="14"/>
  <c r="E457" i="14"/>
  <c r="H457" i="14" s="1"/>
  <c r="G456" i="14"/>
  <c r="E456" i="14"/>
  <c r="F455" i="14"/>
  <c r="C455" i="14"/>
  <c r="G452" i="14"/>
  <c r="G445" i="14"/>
  <c r="G444" i="14" s="1"/>
  <c r="E445" i="14"/>
  <c r="E444" i="14" s="1"/>
  <c r="F443" i="14"/>
  <c r="C443" i="14"/>
  <c r="G385" i="14"/>
  <c r="E386" i="14"/>
  <c r="E385" i="14" s="1"/>
  <c r="G374" i="14"/>
  <c r="G369" i="14" s="1"/>
  <c r="G368" i="14" s="1"/>
  <c r="F374" i="14"/>
  <c r="F369" i="14" s="1"/>
  <c r="F368" i="14" s="1"/>
  <c r="G363" i="14"/>
  <c r="G362" i="14" s="1"/>
  <c r="G361" i="14" s="1"/>
  <c r="E363" i="14"/>
  <c r="H363" i="14" s="1"/>
  <c r="H362" i="14" s="1"/>
  <c r="H361" i="14" s="1"/>
  <c r="F362" i="14"/>
  <c r="F361" i="14" s="1"/>
  <c r="D362" i="14"/>
  <c r="D361" i="14" s="1"/>
  <c r="C362" i="14"/>
  <c r="C361" i="14" s="1"/>
  <c r="G360" i="14"/>
  <c r="G359" i="14" s="1"/>
  <c r="G358" i="14" s="1"/>
  <c r="F359" i="14"/>
  <c r="F358" i="14" s="1"/>
  <c r="F357" i="14" s="1"/>
  <c r="C359" i="14"/>
  <c r="C358" i="14" s="1"/>
  <c r="G351" i="14"/>
  <c r="D351" i="14"/>
  <c r="F351" i="14"/>
  <c r="C351" i="14"/>
  <c r="G349" i="14"/>
  <c r="G348" i="14" s="1"/>
  <c r="G345" i="14"/>
  <c r="G344" i="14" s="1"/>
  <c r="F344" i="14"/>
  <c r="G340" i="14"/>
  <c r="E340" i="14"/>
  <c r="H340" i="14" s="1"/>
  <c r="G339" i="14"/>
  <c r="E339" i="14"/>
  <c r="H339" i="14" s="1"/>
  <c r="F338" i="14"/>
  <c r="G336" i="14"/>
  <c r="E336" i="14"/>
  <c r="G335" i="14"/>
  <c r="E335" i="14"/>
  <c r="H335" i="14" s="1"/>
  <c r="G331" i="14"/>
  <c r="E331" i="14"/>
  <c r="G328" i="14"/>
  <c r="E328" i="14"/>
  <c r="H328" i="14" s="1"/>
  <c r="G326" i="14"/>
  <c r="E326" i="14"/>
  <c r="H326" i="14" s="1"/>
  <c r="G325" i="14"/>
  <c r="E325" i="14"/>
  <c r="G323" i="14"/>
  <c r="G322" i="14" s="1"/>
  <c r="E323" i="14"/>
  <c r="E322" i="14" s="1"/>
  <c r="F322" i="14"/>
  <c r="F309" i="14" s="1"/>
  <c r="G320" i="14"/>
  <c r="E320" i="14"/>
  <c r="G319" i="14"/>
  <c r="E319" i="14"/>
  <c r="H319" i="14" s="1"/>
  <c r="G318" i="14"/>
  <c r="E318" i="14"/>
  <c r="G314" i="14"/>
  <c r="G310" i="14" s="1"/>
  <c r="E314" i="14"/>
  <c r="H314" i="14" s="1"/>
  <c r="G301" i="14"/>
  <c r="G299" i="14" s="1"/>
  <c r="G296" i="14"/>
  <c r="G295" i="14" s="1"/>
  <c r="G293" i="14"/>
  <c r="E293" i="14"/>
  <c r="H293" i="14" s="1"/>
  <c r="G292" i="14"/>
  <c r="E292" i="14"/>
  <c r="G290" i="14"/>
  <c r="G285" i="14" s="1"/>
  <c r="E290" i="14"/>
  <c r="E285" i="14" s="1"/>
  <c r="G284" i="14"/>
  <c r="G283" i="14" s="1"/>
  <c r="E284" i="14"/>
  <c r="F283" i="14"/>
  <c r="F276" i="14" s="1"/>
  <c r="G282" i="14"/>
  <c r="E282" i="14"/>
  <c r="G280" i="14"/>
  <c r="E280" i="14"/>
  <c r="H280" i="14" s="1"/>
  <c r="E279" i="14"/>
  <c r="H279" i="14" s="1"/>
  <c r="E278" i="14"/>
  <c r="G275" i="14"/>
  <c r="G274" i="14" s="1"/>
  <c r="D274" i="14"/>
  <c r="F274" i="14"/>
  <c r="C274" i="14"/>
  <c r="G271" i="14"/>
  <c r="E271" i="14"/>
  <c r="H271" i="14" s="1"/>
  <c r="G270" i="14"/>
  <c r="E270" i="14"/>
  <c r="H270" i="14" s="1"/>
  <c r="G269" i="14"/>
  <c r="E269" i="14"/>
  <c r="H269" i="14" s="1"/>
  <c r="G268" i="14"/>
  <c r="E268" i="14"/>
  <c r="H268" i="14" s="1"/>
  <c r="F266" i="14"/>
  <c r="C266" i="14"/>
  <c r="G265" i="14"/>
  <c r="E265" i="14"/>
  <c r="H265" i="14" s="1"/>
  <c r="G264" i="14"/>
  <c r="E264" i="14"/>
  <c r="H264" i="14" s="1"/>
  <c r="F263" i="14"/>
  <c r="C263" i="14"/>
  <c r="G262" i="14"/>
  <c r="G261" i="14" s="1"/>
  <c r="C261" i="14"/>
  <c r="G248" i="14"/>
  <c r="G247" i="14"/>
  <c r="E247" i="14"/>
  <c r="H247" i="14" s="1"/>
  <c r="G246" i="14"/>
  <c r="E246" i="14"/>
  <c r="C245" i="14"/>
  <c r="G244" i="14"/>
  <c r="G243" i="14" s="1"/>
  <c r="D244" i="14"/>
  <c r="D243" i="14" s="1"/>
  <c r="F243" i="14"/>
  <c r="F242" i="14" s="1"/>
  <c r="F212" i="14" s="1"/>
  <c r="F208" i="14" s="1"/>
  <c r="C243" i="14"/>
  <c r="G239" i="14"/>
  <c r="G238" i="14" s="1"/>
  <c r="C238" i="14"/>
  <c r="G237" i="14"/>
  <c r="E237" i="14"/>
  <c r="G236" i="14"/>
  <c r="E236" i="14"/>
  <c r="C235" i="14"/>
  <c r="G226" i="14"/>
  <c r="G225" i="14" s="1"/>
  <c r="E226" i="14"/>
  <c r="E225" i="14" s="1"/>
  <c r="C225" i="14"/>
  <c r="C213" i="14" s="1"/>
  <c r="G221" i="14"/>
  <c r="E221" i="14"/>
  <c r="H221" i="14" s="1"/>
  <c r="G220" i="14"/>
  <c r="E220" i="14"/>
  <c r="H220" i="14" s="1"/>
  <c r="G219" i="14"/>
  <c r="G216" i="14"/>
  <c r="E216" i="14"/>
  <c r="H216" i="14" s="1"/>
  <c r="G215" i="14"/>
  <c r="G207" i="14"/>
  <c r="H207" i="14"/>
  <c r="G206" i="14"/>
  <c r="D206" i="14"/>
  <c r="D205" i="14" s="1"/>
  <c r="C205" i="14"/>
  <c r="G204" i="14"/>
  <c r="G203" i="14" s="1"/>
  <c r="D204" i="14"/>
  <c r="E204" i="14" s="1"/>
  <c r="F203" i="14"/>
  <c r="F202" i="14" s="1"/>
  <c r="C203" i="14"/>
  <c r="G199" i="14"/>
  <c r="G198" i="14" s="1"/>
  <c r="E199" i="14"/>
  <c r="F198" i="14"/>
  <c r="G197" i="14"/>
  <c r="G196" i="14" s="1"/>
  <c r="D196" i="14"/>
  <c r="F196" i="14"/>
  <c r="G192" i="14"/>
  <c r="G190" i="14" s="1"/>
  <c r="G189" i="14"/>
  <c r="E189" i="14"/>
  <c r="H189" i="14" s="1"/>
  <c r="G188" i="14"/>
  <c r="E188" i="14"/>
  <c r="H188" i="14" s="1"/>
  <c r="E186" i="14"/>
  <c r="E185" i="14" s="1"/>
  <c r="G181" i="14"/>
  <c r="E181" i="14"/>
  <c r="H181" i="14" s="1"/>
  <c r="G180" i="14"/>
  <c r="E180" i="14"/>
  <c r="H180" i="14" s="1"/>
  <c r="G175" i="14"/>
  <c r="G174" i="14" s="1"/>
  <c r="G173" i="14" s="1"/>
  <c r="D174" i="14"/>
  <c r="D173" i="14" s="1"/>
  <c r="F174" i="14"/>
  <c r="F173" i="14" s="1"/>
  <c r="C174" i="14"/>
  <c r="C173" i="14" s="1"/>
  <c r="E170" i="14"/>
  <c r="H170" i="14" s="1"/>
  <c r="G167" i="14"/>
  <c r="C165" i="14"/>
  <c r="G164" i="14"/>
  <c r="G163" i="14" s="1"/>
  <c r="D163" i="14"/>
  <c r="D142" i="14" s="1"/>
  <c r="F163" i="14"/>
  <c r="F142" i="14" s="1"/>
  <c r="C163" i="14"/>
  <c r="C142" i="14" s="1"/>
  <c r="G162" i="14"/>
  <c r="E162" i="14"/>
  <c r="G161" i="14"/>
  <c r="E161" i="14"/>
  <c r="G151" i="14"/>
  <c r="H151" i="14" s="1"/>
  <c r="G149" i="14"/>
  <c r="E149" i="14"/>
  <c r="G146" i="14"/>
  <c r="E146" i="14"/>
  <c r="G144" i="14"/>
  <c r="E144" i="14"/>
  <c r="G141" i="14"/>
  <c r="D141" i="14"/>
  <c r="E141" i="14" s="1"/>
  <c r="F140" i="14"/>
  <c r="C140" i="14"/>
  <c r="G136" i="14"/>
  <c r="E136" i="14"/>
  <c r="G134" i="14"/>
  <c r="G133" i="14" s="1"/>
  <c r="G132" i="14"/>
  <c r="H132" i="14" s="1"/>
  <c r="G131" i="14"/>
  <c r="E131" i="14"/>
  <c r="E130" i="14"/>
  <c r="H130" i="14" s="1"/>
  <c r="G128" i="14"/>
  <c r="G127" i="14" s="1"/>
  <c r="D127" i="14"/>
  <c r="F127" i="14"/>
  <c r="C127" i="14"/>
  <c r="G126" i="14"/>
  <c r="E126" i="14"/>
  <c r="F125" i="14"/>
  <c r="C125" i="14"/>
  <c r="G124" i="14"/>
  <c r="H124" i="14" s="1"/>
  <c r="G123" i="14"/>
  <c r="H123" i="14" s="1"/>
  <c r="C122" i="14"/>
  <c r="E120" i="14"/>
  <c r="E119" i="14"/>
  <c r="H119" i="14" s="1"/>
  <c r="G118" i="14"/>
  <c r="E118" i="14"/>
  <c r="G117" i="14"/>
  <c r="E117" i="14"/>
  <c r="E116" i="14"/>
  <c r="H116" i="14" s="1"/>
  <c r="G114" i="14"/>
  <c r="E114" i="14"/>
  <c r="E113" i="14"/>
  <c r="H113" i="14" s="1"/>
  <c r="G112" i="14"/>
  <c r="E112" i="14"/>
  <c r="F111" i="14"/>
  <c r="C111" i="14"/>
  <c r="G108" i="14"/>
  <c r="E108" i="14"/>
  <c r="G107" i="14"/>
  <c r="E107" i="14"/>
  <c r="G105" i="14"/>
  <c r="D104" i="14"/>
  <c r="F104" i="14"/>
  <c r="C104" i="14"/>
  <c r="G103" i="14"/>
  <c r="G101" i="14"/>
  <c r="E101" i="14"/>
  <c r="E99" i="14"/>
  <c r="H99" i="14" s="1"/>
  <c r="G96" i="14"/>
  <c r="E96" i="14"/>
  <c r="G93" i="14"/>
  <c r="E93" i="14"/>
  <c r="G91" i="14"/>
  <c r="E91" i="14"/>
  <c r="G89" i="14"/>
  <c r="E89" i="14"/>
  <c r="G88" i="14"/>
  <c r="E88" i="14"/>
  <c r="G86" i="14"/>
  <c r="E86" i="14"/>
  <c r="G85" i="14"/>
  <c r="H85" i="14" s="1"/>
  <c r="G84" i="14"/>
  <c r="E84" i="14"/>
  <c r="G83" i="14"/>
  <c r="E83" i="14"/>
  <c r="G81" i="14"/>
  <c r="E81" i="14"/>
  <c r="G80" i="14"/>
  <c r="E80" i="14"/>
  <c r="G78" i="14"/>
  <c r="E78" i="14"/>
  <c r="E77" i="14"/>
  <c r="G74" i="14"/>
  <c r="E74" i="14"/>
  <c r="G73" i="14"/>
  <c r="E73" i="14"/>
  <c r="G69" i="14"/>
  <c r="E69" i="14"/>
  <c r="G68" i="14"/>
  <c r="E68" i="14"/>
  <c r="G67" i="14"/>
  <c r="E67" i="14"/>
  <c r="G66" i="14"/>
  <c r="E66" i="14"/>
  <c r="G65" i="14"/>
  <c r="E65" i="14"/>
  <c r="G61" i="14"/>
  <c r="E61" i="14"/>
  <c r="E59" i="14"/>
  <c r="H59" i="14" s="1"/>
  <c r="G57" i="14"/>
  <c r="E57" i="14"/>
  <c r="G56" i="14"/>
  <c r="E56" i="14"/>
  <c r="F55" i="14"/>
  <c r="C55" i="14"/>
  <c r="G54" i="14"/>
  <c r="F53" i="14"/>
  <c r="C53" i="14"/>
  <c r="G52" i="14"/>
  <c r="E52" i="14"/>
  <c r="G49" i="14"/>
  <c r="E49" i="14"/>
  <c r="G46" i="14"/>
  <c r="E46" i="14"/>
  <c r="G43" i="14"/>
  <c r="E43" i="14"/>
  <c r="G42" i="14"/>
  <c r="E42" i="14"/>
  <c r="G40" i="14"/>
  <c r="E40" i="14"/>
  <c r="G39" i="14"/>
  <c r="E39" i="14"/>
  <c r="G38" i="14"/>
  <c r="E38" i="14"/>
  <c r="G37" i="14"/>
  <c r="E37" i="14"/>
  <c r="G35" i="14"/>
  <c r="E35" i="14"/>
  <c r="G34" i="14"/>
  <c r="E34" i="14"/>
  <c r="G31" i="14"/>
  <c r="G30" i="14" s="1"/>
  <c r="E31" i="14"/>
  <c r="F30" i="14"/>
  <c r="F11" i="14" s="1"/>
  <c r="D30" i="14"/>
  <c r="C30" i="14"/>
  <c r="C11" i="14" s="1"/>
  <c r="G27" i="14"/>
  <c r="E27" i="14"/>
  <c r="H27" i="14" s="1"/>
  <c r="G25" i="14"/>
  <c r="E25" i="14"/>
  <c r="H25" i="14" s="1"/>
  <c r="G23" i="14"/>
  <c r="E23" i="14"/>
  <c r="H23" i="14" s="1"/>
  <c r="G22" i="14"/>
  <c r="E22" i="14"/>
  <c r="H22" i="14" s="1"/>
  <c r="G21" i="14"/>
  <c r="E21" i="14"/>
  <c r="H21" i="14" s="1"/>
  <c r="G20" i="14"/>
  <c r="G17" i="14"/>
  <c r="G15" i="14" s="1"/>
  <c r="E17" i="14"/>
  <c r="H17" i="14" s="1"/>
  <c r="G14" i="14"/>
  <c r="G13" i="14"/>
  <c r="C260" i="14" l="1"/>
  <c r="G661" i="14"/>
  <c r="G357" i="14"/>
  <c r="E384" i="14"/>
  <c r="E383" i="14" s="1"/>
  <c r="G384" i="14"/>
  <c r="G383" i="14" s="1"/>
  <c r="H93" i="14"/>
  <c r="H149" i="14"/>
  <c r="C357" i="14"/>
  <c r="H66" i="14"/>
  <c r="H43" i="14"/>
  <c r="E90" i="14"/>
  <c r="F260" i="14"/>
  <c r="H84" i="14"/>
  <c r="H57" i="14"/>
  <c r="H35" i="14"/>
  <c r="H38" i="14"/>
  <c r="H40" i="14"/>
  <c r="H49" i="14"/>
  <c r="H65" i="14"/>
  <c r="H67" i="14"/>
  <c r="H69" i="14"/>
  <c r="H74" i="14"/>
  <c r="H88" i="14"/>
  <c r="H96" i="14"/>
  <c r="H108" i="14"/>
  <c r="H112" i="14"/>
  <c r="H118" i="14"/>
  <c r="H131" i="14"/>
  <c r="H136" i="14"/>
  <c r="H146" i="14"/>
  <c r="E15" i="14"/>
  <c r="H15" i="14"/>
  <c r="E30" i="14"/>
  <c r="H31" i="14"/>
  <c r="H30" i="14" s="1"/>
  <c r="F32" i="14"/>
  <c r="H78" i="14"/>
  <c r="H81" i="14"/>
  <c r="H101" i="14"/>
  <c r="F71" i="14"/>
  <c r="H114" i="14"/>
  <c r="H162" i="14"/>
  <c r="H56" i="14"/>
  <c r="H80" i="14"/>
  <c r="H83" i="14"/>
  <c r="H91" i="14"/>
  <c r="G90" i="14"/>
  <c r="G104" i="14"/>
  <c r="H105" i="14"/>
  <c r="H104" i="14" s="1"/>
  <c r="G140" i="14"/>
  <c r="H141" i="14"/>
  <c r="H140" i="14" s="1"/>
  <c r="H161" i="14"/>
  <c r="H34" i="14"/>
  <c r="H37" i="14"/>
  <c r="H39" i="14"/>
  <c r="H42" i="14"/>
  <c r="H46" i="14"/>
  <c r="H52" i="14"/>
  <c r="G53" i="14"/>
  <c r="H61" i="14"/>
  <c r="H58" i="14" s="1"/>
  <c r="H68" i="14"/>
  <c r="H73" i="14"/>
  <c r="H86" i="14"/>
  <c r="H89" i="14"/>
  <c r="H107" i="14"/>
  <c r="H117" i="14"/>
  <c r="G125" i="14"/>
  <c r="H126" i="14"/>
  <c r="H125" i="14" s="1"/>
  <c r="H144" i="14"/>
  <c r="H120" i="14"/>
  <c r="H77" i="14"/>
  <c r="H689" i="14"/>
  <c r="H687" i="14" s="1"/>
  <c r="E687" i="14"/>
  <c r="G687" i="14"/>
  <c r="H592" i="14"/>
  <c r="H590" i="14" s="1"/>
  <c r="E590" i="14"/>
  <c r="E166" i="14"/>
  <c r="E165" i="14" s="1"/>
  <c r="C461" i="14"/>
  <c r="G41" i="14"/>
  <c r="F543" i="14"/>
  <c r="E82" i="14"/>
  <c r="C121" i="14"/>
  <c r="E463" i="14"/>
  <c r="G572" i="14"/>
  <c r="E158" i="14"/>
  <c r="G82" i="14"/>
  <c r="E76" i="14"/>
  <c r="G76" i="14"/>
  <c r="E41" i="14"/>
  <c r="G158" i="14"/>
  <c r="G148" i="14"/>
  <c r="E148" i="14"/>
  <c r="E143" i="14"/>
  <c r="G143" i="14"/>
  <c r="G463" i="14"/>
  <c r="G462" i="14" s="1"/>
  <c r="E512" i="14"/>
  <c r="H695" i="14"/>
  <c r="H692" i="14" s="1"/>
  <c r="H691" i="14" s="1"/>
  <c r="G539" i="14"/>
  <c r="G538" i="14" s="1"/>
  <c r="H542" i="14"/>
  <c r="H539" i="14" s="1"/>
  <c r="H538" i="14" s="1"/>
  <c r="E539" i="14"/>
  <c r="E538" i="14" s="1"/>
  <c r="G512" i="14"/>
  <c r="G508" i="14" s="1"/>
  <c r="G443" i="14"/>
  <c r="F583" i="14"/>
  <c r="G483" i="14"/>
  <c r="G482" i="14" s="1"/>
  <c r="E483" i="14"/>
  <c r="E482" i="14" s="1"/>
  <c r="C32" i="14"/>
  <c r="G218" i="14"/>
  <c r="G217" i="14" s="1"/>
  <c r="F337" i="14"/>
  <c r="G214" i="14"/>
  <c r="E291" i="14"/>
  <c r="G277" i="14"/>
  <c r="E317" i="14"/>
  <c r="G317" i="14"/>
  <c r="G324" i="14"/>
  <c r="E277" i="14"/>
  <c r="H331" i="14"/>
  <c r="E324" i="14"/>
  <c r="H318" i="14"/>
  <c r="G291" i="14"/>
  <c r="G12" i="14"/>
  <c r="G19" i="14"/>
  <c r="G18" i="14" s="1"/>
  <c r="G24" i="14"/>
  <c r="H179" i="14"/>
  <c r="E179" i="14"/>
  <c r="G195" i="14"/>
  <c r="G166" i="14"/>
  <c r="G165" i="14" s="1"/>
  <c r="G179" i="14"/>
  <c r="G184" i="14"/>
  <c r="G544" i="14"/>
  <c r="G543" i="14" s="1"/>
  <c r="F195" i="14"/>
  <c r="F177" i="14" s="1"/>
  <c r="C234" i="14"/>
  <c r="E248" i="14"/>
  <c r="H248" i="14" s="1"/>
  <c r="D245" i="14"/>
  <c r="D242" i="14" s="1"/>
  <c r="D212" i="14" s="1"/>
  <c r="D208" i="14" s="1"/>
  <c r="H282" i="14"/>
  <c r="H236" i="14"/>
  <c r="E235" i="14"/>
  <c r="G245" i="14"/>
  <c r="G242" i="14" s="1"/>
  <c r="H246" i="14"/>
  <c r="G235" i="14"/>
  <c r="G234" i="14" s="1"/>
  <c r="G129" i="14"/>
  <c r="E106" i="14"/>
  <c r="G106" i="14"/>
  <c r="G95" i="14"/>
  <c r="E72" i="14"/>
  <c r="G72" i="14"/>
  <c r="G33" i="14"/>
  <c r="E64" i="14"/>
  <c r="G64" i="14"/>
  <c r="E58" i="14"/>
  <c r="G58" i="14"/>
  <c r="G45" i="14"/>
  <c r="E45" i="14"/>
  <c r="E33" i="14"/>
  <c r="E24" i="14"/>
  <c r="H622" i="14"/>
  <c r="H548" i="14"/>
  <c r="H547" i="14" s="1"/>
  <c r="H556" i="14"/>
  <c r="H555" i="14" s="1"/>
  <c r="E555" i="14"/>
  <c r="F454" i="14"/>
  <c r="F442" i="14" s="1"/>
  <c r="H485" i="14"/>
  <c r="H513" i="14"/>
  <c r="H512" i="14" s="1"/>
  <c r="G451" i="14"/>
  <c r="G448" i="14" s="1"/>
  <c r="H386" i="14"/>
  <c r="H385" i="14" s="1"/>
  <c r="H468" i="14"/>
  <c r="H466" i="14" s="1"/>
  <c r="E55" i="14"/>
  <c r="C570" i="14"/>
  <c r="D322" i="14"/>
  <c r="G455" i="14"/>
  <c r="G454" i="14" s="1"/>
  <c r="D519" i="14"/>
  <c r="D508" i="14" s="1"/>
  <c r="E703" i="14"/>
  <c r="E702" i="14" s="1"/>
  <c r="E701" i="14" s="1"/>
  <c r="G263" i="14"/>
  <c r="H338" i="14"/>
  <c r="E362" i="14"/>
  <c r="E361" i="14" s="1"/>
  <c r="H520" i="14"/>
  <c r="H519" i="14" s="1"/>
  <c r="E519" i="14"/>
  <c r="E594" i="14"/>
  <c r="H594" i="14" s="1"/>
  <c r="H593" i="14" s="1"/>
  <c r="H186" i="14"/>
  <c r="E184" i="14"/>
  <c r="E244" i="14"/>
  <c r="H244" i="14" s="1"/>
  <c r="H243" i="14" s="1"/>
  <c r="D612" i="14"/>
  <c r="D611" i="14" s="1"/>
  <c r="E140" i="14"/>
  <c r="C242" i="14"/>
  <c r="D597" i="14"/>
  <c r="D596" i="14" s="1"/>
  <c r="H256" i="14"/>
  <c r="E254" i="14"/>
  <c r="E111" i="14"/>
  <c r="E115" i="14"/>
  <c r="G115" i="14"/>
  <c r="E125" i="14"/>
  <c r="E455" i="14"/>
  <c r="H456" i="14"/>
  <c r="H455" i="14" s="1"/>
  <c r="E164" i="14"/>
  <c r="H164" i="14" s="1"/>
  <c r="H226" i="14"/>
  <c r="H225" i="14" s="1"/>
  <c r="E239" i="14"/>
  <c r="E296" i="14"/>
  <c r="E295" i="14" s="1"/>
  <c r="C454" i="14"/>
  <c r="C442" i="14" s="1"/>
  <c r="H484" i="14"/>
  <c r="E662" i="14"/>
  <c r="E661" i="14" s="1"/>
  <c r="F700" i="14"/>
  <c r="C71" i="14"/>
  <c r="D203" i="14"/>
  <c r="D202" i="14" s="1"/>
  <c r="G267" i="14"/>
  <c r="G266" i="14" s="1"/>
  <c r="E275" i="14"/>
  <c r="E274" i="14" s="1"/>
  <c r="G334" i="14"/>
  <c r="D455" i="14"/>
  <c r="D454" i="14" s="1"/>
  <c r="C558" i="14"/>
  <c r="E561" i="14"/>
  <c r="E560" i="14" s="1"/>
  <c r="E559" i="14" s="1"/>
  <c r="H625" i="14"/>
  <c r="D266" i="14"/>
  <c r="E709" i="14"/>
  <c r="E708" i="14" s="1"/>
  <c r="H292" i="14"/>
  <c r="H291" i="14" s="1"/>
  <c r="H278" i="14"/>
  <c r="E360" i="14"/>
  <c r="H360" i="14" s="1"/>
  <c r="H359" i="14" s="1"/>
  <c r="H358" i="14" s="1"/>
  <c r="H357" i="14" s="1"/>
  <c r="D359" i="14"/>
  <c r="D358" i="14" s="1"/>
  <c r="D357" i="14" s="1"/>
  <c r="D443" i="14"/>
  <c r="D563" i="14"/>
  <c r="D562" i="14" s="1"/>
  <c r="D558" i="14" s="1"/>
  <c r="E598" i="14"/>
  <c r="E597" i="14" s="1"/>
  <c r="E596" i="14" s="1"/>
  <c r="H714" i="14"/>
  <c r="E714" i="14"/>
  <c r="G55" i="14"/>
  <c r="E192" i="14"/>
  <c r="E190" i="14" s="1"/>
  <c r="H199" i="14"/>
  <c r="H198" i="14" s="1"/>
  <c r="E198" i="14"/>
  <c r="E215" i="14"/>
  <c r="E219" i="14"/>
  <c r="H633" i="14"/>
  <c r="H632" i="14" s="1"/>
  <c r="H631" i="14" s="1"/>
  <c r="H630" i="14" s="1"/>
  <c r="E632" i="14"/>
  <c r="E631" i="14" s="1"/>
  <c r="E630" i="14" s="1"/>
  <c r="D111" i="14"/>
  <c r="G111" i="14"/>
  <c r="F121" i="14"/>
  <c r="H204" i="14"/>
  <c r="H203" i="14" s="1"/>
  <c r="E203" i="14"/>
  <c r="H263" i="14"/>
  <c r="E311" i="14"/>
  <c r="E310" i="14" s="1"/>
  <c r="E349" i="14"/>
  <c r="E348" i="14" s="1"/>
  <c r="E452" i="14"/>
  <c r="E606" i="14"/>
  <c r="E605" i="14" s="1"/>
  <c r="E604" i="14" s="1"/>
  <c r="H707" i="14"/>
  <c r="H706" i="14" s="1"/>
  <c r="H705" i="14" s="1"/>
  <c r="E706" i="14"/>
  <c r="E705" i="14" s="1"/>
  <c r="H237" i="14"/>
  <c r="D374" i="14"/>
  <c r="D369" i="14" s="1"/>
  <c r="D368" i="14" s="1"/>
  <c r="E375" i="14"/>
  <c r="E374" i="14" s="1"/>
  <c r="E369" i="14" s="1"/>
  <c r="E368" i="14" s="1"/>
  <c r="C202" i="14"/>
  <c r="H267" i="14"/>
  <c r="H266" i="14" s="1"/>
  <c r="C583" i="14"/>
  <c r="G709" i="14"/>
  <c r="G708" i="14" s="1"/>
  <c r="G700" i="14" s="1"/>
  <c r="E128" i="14"/>
  <c r="H128" i="14" s="1"/>
  <c r="E197" i="14"/>
  <c r="D263" i="14"/>
  <c r="D260" i="14" s="1"/>
  <c r="D338" i="14"/>
  <c r="G563" i="14"/>
  <c r="G562" i="14" s="1"/>
  <c r="G558" i="14" s="1"/>
  <c r="G593" i="14"/>
  <c r="G584" i="14" s="1"/>
  <c r="G205" i="14"/>
  <c r="G202" i="14" s="1"/>
  <c r="G122" i="14"/>
  <c r="E20" i="14"/>
  <c r="H20" i="14" s="1"/>
  <c r="D53" i="14"/>
  <c r="E54" i="14"/>
  <c r="E53" i="14" s="1"/>
  <c r="H320" i="14"/>
  <c r="H336" i="14"/>
  <c r="H334" i="14" s="1"/>
  <c r="E334" i="14"/>
  <c r="E283" i="14"/>
  <c r="H284" i="14"/>
  <c r="H283" i="14" s="1"/>
  <c r="H325" i="14"/>
  <c r="D55" i="14"/>
  <c r="D125" i="14"/>
  <c r="D140" i="14"/>
  <c r="D165" i="14"/>
  <c r="D198" i="14"/>
  <c r="D195" i="14" s="1"/>
  <c r="E262" i="14"/>
  <c r="E261" i="14" s="1"/>
  <c r="E263" i="14"/>
  <c r="E267" i="14"/>
  <c r="E266" i="14" s="1"/>
  <c r="D283" i="14"/>
  <c r="D276" i="14" s="1"/>
  <c r="E301" i="14"/>
  <c r="E299" i="14" s="1"/>
  <c r="E338" i="14"/>
  <c r="G338" i="14"/>
  <c r="G337" i="14" s="1"/>
  <c r="E345" i="14"/>
  <c r="D344" i="14"/>
  <c r="H465" i="14"/>
  <c r="H463" i="14" s="1"/>
  <c r="H290" i="14"/>
  <c r="H285" i="14" s="1"/>
  <c r="H323" i="14"/>
  <c r="H322" i="14" s="1"/>
  <c r="E443" i="14"/>
  <c r="H445" i="14"/>
  <c r="H444" i="14" s="1"/>
  <c r="E122" i="14"/>
  <c r="E134" i="14"/>
  <c r="E175" i="14"/>
  <c r="H175" i="14" s="1"/>
  <c r="E206" i="14"/>
  <c r="D334" i="14"/>
  <c r="E459" i="14"/>
  <c r="E545" i="14"/>
  <c r="E544" i="14" s="1"/>
  <c r="D544" i="14"/>
  <c r="E573" i="14"/>
  <c r="E572" i="14" s="1"/>
  <c r="E571" i="14" s="1"/>
  <c r="E581" i="14"/>
  <c r="D580" i="14"/>
  <c r="D577" i="14" s="1"/>
  <c r="D550" i="14"/>
  <c r="E551" i="14"/>
  <c r="F570" i="14"/>
  <c r="G597" i="14"/>
  <c r="G596" i="14" s="1"/>
  <c r="E563" i="14"/>
  <c r="E562" i="14" s="1"/>
  <c r="H564" i="14"/>
  <c r="H563" i="14" s="1"/>
  <c r="H562" i="14" s="1"/>
  <c r="E612" i="14"/>
  <c r="E611" i="14" s="1"/>
  <c r="H613" i="14"/>
  <c r="H612" i="14" s="1"/>
  <c r="H611" i="14" s="1"/>
  <c r="C700" i="14"/>
  <c r="D632" i="14"/>
  <c r="D631" i="14" s="1"/>
  <c r="D630" i="14" s="1"/>
  <c r="H709" i="14"/>
  <c r="H708" i="14" s="1"/>
  <c r="D700" i="14"/>
  <c r="G658" i="14" l="1"/>
  <c r="G635" i="14" s="1"/>
  <c r="G260" i="14"/>
  <c r="H508" i="14"/>
  <c r="H111" i="14"/>
  <c r="E508" i="14"/>
  <c r="H41" i="14"/>
  <c r="H384" i="14"/>
  <c r="H383" i="14" s="1"/>
  <c r="H90" i="14"/>
  <c r="C10" i="14"/>
  <c r="G213" i="14"/>
  <c r="G212" i="14" s="1"/>
  <c r="G208" i="14" s="1"/>
  <c r="E260" i="14"/>
  <c r="H55" i="14"/>
  <c r="H115" i="14"/>
  <c r="H106" i="14"/>
  <c r="H54" i="14"/>
  <c r="H53" i="14" s="1"/>
  <c r="F10" i="14"/>
  <c r="H64" i="14"/>
  <c r="D177" i="14"/>
  <c r="H158" i="14"/>
  <c r="H76" i="14"/>
  <c r="E133" i="14"/>
  <c r="E129" i="14" s="1"/>
  <c r="H134" i="14"/>
  <c r="H133" i="14" s="1"/>
  <c r="H129" i="14" s="1"/>
  <c r="E19" i="14"/>
  <c r="H19" i="14" s="1"/>
  <c r="H584" i="14"/>
  <c r="G571" i="14"/>
  <c r="G570" i="14" s="1"/>
  <c r="D309" i="14"/>
  <c r="D543" i="14"/>
  <c r="C212" i="14"/>
  <c r="C208" i="14" s="1"/>
  <c r="C177" i="14" s="1"/>
  <c r="F259" i="14"/>
  <c r="E309" i="14"/>
  <c r="G309" i="14"/>
  <c r="H82" i="14"/>
  <c r="G142" i="14"/>
  <c r="G276" i="14"/>
  <c r="D121" i="14"/>
  <c r="H662" i="14"/>
  <c r="E658" i="14"/>
  <c r="E635" i="14" s="1"/>
  <c r="H185" i="14"/>
  <c r="H184" i="14" s="1"/>
  <c r="D337" i="14"/>
  <c r="H143" i="14"/>
  <c r="H148" i="14"/>
  <c r="G178" i="14"/>
  <c r="H483" i="14"/>
  <c r="H482" i="14" s="1"/>
  <c r="G461" i="14"/>
  <c r="H443" i="14"/>
  <c r="G11" i="14"/>
  <c r="E276" i="14"/>
  <c r="E625" i="14"/>
  <c r="D32" i="14"/>
  <c r="H245" i="14"/>
  <c r="H242" i="14" s="1"/>
  <c r="H277" i="14"/>
  <c r="H317" i="14"/>
  <c r="H324" i="14"/>
  <c r="H296" i="14"/>
  <c r="H295" i="14" s="1"/>
  <c r="E245" i="14"/>
  <c r="H215" i="14"/>
  <c r="H214" i="14" s="1"/>
  <c r="E214" i="14"/>
  <c r="E178" i="14"/>
  <c r="H239" i="14"/>
  <c r="H238" i="14" s="1"/>
  <c r="E238" i="14"/>
  <c r="E234" i="14" s="1"/>
  <c r="H24" i="14"/>
  <c r="H219" i="14"/>
  <c r="H218" i="14" s="1"/>
  <c r="H217" i="14" s="1"/>
  <c r="E218" i="14"/>
  <c r="E217" i="14" s="1"/>
  <c r="E243" i="14"/>
  <c r="H235" i="14"/>
  <c r="G32" i="14"/>
  <c r="E32" i="14"/>
  <c r="H72" i="14"/>
  <c r="H45" i="14"/>
  <c r="H33" i="14"/>
  <c r="H561" i="14"/>
  <c r="H560" i="14" s="1"/>
  <c r="H559" i="14" s="1"/>
  <c r="H558" i="14" s="1"/>
  <c r="H452" i="14"/>
  <c r="H451" i="14" s="1"/>
  <c r="H448" i="14" s="1"/>
  <c r="E451" i="14"/>
  <c r="E448" i="14" s="1"/>
  <c r="G442" i="14"/>
  <c r="H255" i="14"/>
  <c r="H254" i="14" s="1"/>
  <c r="E593" i="14"/>
  <c r="D583" i="14"/>
  <c r="F461" i="14"/>
  <c r="E351" i="14"/>
  <c r="H275" i="14"/>
  <c r="H274" i="14" s="1"/>
  <c r="E700" i="14"/>
  <c r="H606" i="14"/>
  <c r="H605" i="14" s="1"/>
  <c r="H604" i="14" s="1"/>
  <c r="H163" i="14"/>
  <c r="E163" i="14"/>
  <c r="E142" i="14" s="1"/>
  <c r="G121" i="14"/>
  <c r="H598" i="14"/>
  <c r="H597" i="14" s="1"/>
  <c r="H596" i="14" s="1"/>
  <c r="C259" i="14"/>
  <c r="G583" i="14"/>
  <c r="D442" i="14"/>
  <c r="D570" i="14"/>
  <c r="H375" i="14"/>
  <c r="H374" i="14" s="1"/>
  <c r="H369" i="14" s="1"/>
  <c r="H368" i="14" s="1"/>
  <c r="H349" i="14"/>
  <c r="H348" i="14" s="1"/>
  <c r="H700" i="14"/>
  <c r="H311" i="14"/>
  <c r="H310" i="14" s="1"/>
  <c r="H192" i="14"/>
  <c r="H190" i="14" s="1"/>
  <c r="E359" i="14"/>
  <c r="E358" i="14" s="1"/>
  <c r="E357" i="14" s="1"/>
  <c r="G71" i="14"/>
  <c r="H127" i="14"/>
  <c r="E127" i="14"/>
  <c r="E558" i="14"/>
  <c r="H197" i="14"/>
  <c r="H196" i="14" s="1"/>
  <c r="H195" i="14" s="1"/>
  <c r="E196" i="14"/>
  <c r="E195" i="14" s="1"/>
  <c r="H545" i="14"/>
  <c r="H544" i="14" s="1"/>
  <c r="H206" i="14"/>
  <c r="H205" i="14" s="1"/>
  <c r="H202" i="14" s="1"/>
  <c r="E205" i="14"/>
  <c r="E202" i="14" s="1"/>
  <c r="H122" i="14"/>
  <c r="H581" i="14"/>
  <c r="H580" i="14" s="1"/>
  <c r="H577" i="14" s="1"/>
  <c r="E580" i="14"/>
  <c r="E577" i="14" s="1"/>
  <c r="H573" i="14"/>
  <c r="H459" i="14"/>
  <c r="H458" i="14" s="1"/>
  <c r="H454" i="14" s="1"/>
  <c r="E458" i="14"/>
  <c r="E454" i="14" s="1"/>
  <c r="H301" i="14"/>
  <c r="H299" i="14" s="1"/>
  <c r="H174" i="14"/>
  <c r="H173" i="14" s="1"/>
  <c r="E174" i="14"/>
  <c r="E173" i="14" s="1"/>
  <c r="H345" i="14"/>
  <c r="H344" i="14" s="1"/>
  <c r="E344" i="14"/>
  <c r="E337" i="14" s="1"/>
  <c r="H262" i="14"/>
  <c r="H261" i="14" s="1"/>
  <c r="H166" i="14"/>
  <c r="H551" i="14"/>
  <c r="H550" i="14" s="1"/>
  <c r="E550" i="14"/>
  <c r="E543" i="14" s="1"/>
  <c r="H661" i="14" l="1"/>
  <c r="H658" i="14" s="1"/>
  <c r="H635" i="14" s="1"/>
  <c r="G259" i="14"/>
  <c r="H213" i="14"/>
  <c r="H260" i="14"/>
  <c r="E213" i="14"/>
  <c r="C731" i="14"/>
  <c r="G177" i="14"/>
  <c r="G10" i="14"/>
  <c r="E121" i="14"/>
  <c r="E18" i="14"/>
  <c r="H18" i="14"/>
  <c r="F731" i="14"/>
  <c r="E584" i="14"/>
  <c r="E583" i="14" s="1"/>
  <c r="H543" i="14"/>
  <c r="H309" i="14"/>
  <c r="H142" i="14"/>
  <c r="H178" i="14"/>
  <c r="H572" i="14"/>
  <c r="D259" i="14"/>
  <c r="H234" i="14"/>
  <c r="E478" i="14"/>
  <c r="D469" i="14"/>
  <c r="H276" i="14"/>
  <c r="H337" i="14"/>
  <c r="E259" i="14"/>
  <c r="E242" i="14"/>
  <c r="H121" i="14"/>
  <c r="H32" i="14"/>
  <c r="H583" i="14"/>
  <c r="H442" i="14"/>
  <c r="H351" i="14"/>
  <c r="E442" i="14"/>
  <c r="H165" i="14"/>
  <c r="E570" i="14"/>
  <c r="H259" i="14" l="1"/>
  <c r="H571" i="14"/>
  <c r="H570" i="14" s="1"/>
  <c r="H212" i="14"/>
  <c r="H208" i="14" s="1"/>
  <c r="H177" i="14" s="1"/>
  <c r="E212" i="14"/>
  <c r="E208" i="14" s="1"/>
  <c r="E177" i="14" s="1"/>
  <c r="E473" i="14"/>
  <c r="H473" i="14" s="1"/>
  <c r="H469" i="14" s="1"/>
  <c r="D477" i="14"/>
  <c r="H478" i="14"/>
  <c r="H477" i="14" s="1"/>
  <c r="E477" i="14"/>
  <c r="H462" i="14" l="1"/>
  <c r="H461" i="14" s="1"/>
  <c r="D462" i="14"/>
  <c r="D461" i="14" s="1"/>
  <c r="E469" i="14"/>
  <c r="E462" i="14" s="1"/>
  <c r="E461" i="14" s="1"/>
  <c r="H12" i="14"/>
  <c r="H11" i="14" s="1"/>
  <c r="D12" i="14"/>
  <c r="D11" i="14" s="1"/>
  <c r="E12" i="14"/>
  <c r="E11" i="14" s="1"/>
  <c r="D95" i="14"/>
  <c r="D71" i="14" s="1"/>
  <c r="E103" i="14"/>
  <c r="H103" i="14" l="1"/>
  <c r="H95" i="14" s="1"/>
  <c r="H71" i="14" s="1"/>
  <c r="H10" i="14" s="1"/>
  <c r="D10" i="14"/>
  <c r="D731" i="14" s="1"/>
  <c r="E95" i="14"/>
  <c r="E71" i="14" s="1"/>
  <c r="E10" i="14" s="1"/>
  <c r="E731" i="14" l="1"/>
  <c r="H731" i="14"/>
</calcChain>
</file>

<file path=xl/sharedStrings.xml><?xml version="1.0" encoding="utf-8"?>
<sst xmlns="http://schemas.openxmlformats.org/spreadsheetml/2006/main" count="1200" uniqueCount="425">
  <si>
    <t>Concepto</t>
  </si>
  <si>
    <t>Egreso</t>
  </si>
  <si>
    <t>Ampliaciones/</t>
  </si>
  <si>
    <t>Subejercicio   _x0007__x0007_</t>
  </si>
  <si>
    <t>Aprobado</t>
  </si>
  <si>
    <t>Reducciones</t>
  </si>
  <si>
    <t>Modificado</t>
  </si>
  <si>
    <t>Devengado</t>
  </si>
  <si>
    <t>Pagado</t>
  </si>
  <si>
    <t>_x0007__x0007_+</t>
  </si>
  <si>
    <t>(3=1+2)</t>
  </si>
  <si>
    <t>(6=3-4)     _x0007__x0007_+</t>
  </si>
  <si>
    <t>SERVICIOS PERSONALES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</si>
  <si>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</si>
  <si>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</si>
  <si>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</si>
  <si>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</si>
  <si>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</si>
  <si>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ALIMENTOS Y UTENSILIOS</t>
  </si>
  <si>
    <t>COMBUSTIBLES, LUBRICANTES Y ADITIVOS</t>
  </si>
  <si>
    <t>MATERIALES Y SUMINISTROS PARA SEGURIDAD</t>
  </si>
  <si>
    <t>SERVICIOS GENERALES</t>
  </si>
  <si>
    <t>SERVICIOS BÁSICOS</t>
  </si>
  <si>
    <t>SERVICIOS DE ARRENDAMIENTO</t>
  </si>
  <si>
    <t>SERVICIOS DE TRASLADO Y VIÁTICOS</t>
  </si>
  <si>
    <t>SERVICIOS OFICIALES</t>
  </si>
  <si>
    <t>OTROS SERVICIOS GENERALES</t>
  </si>
  <si>
    <t>SUBSIDIOS Y SUBVENCIONES</t>
  </si>
  <si>
    <t>AYUDAS SOCIALES</t>
  </si>
  <si>
    <t>TRANSFERENCIAS A LA SEGURIDAD SOCIAL</t>
  </si>
  <si>
    <t>BIENES MUEBLES, INMUEBLES E INTANGIBLES</t>
  </si>
  <si>
    <t>MOBILIARIO Y EQUIPO DE ADMINISTRACIÓN</t>
  </si>
  <si>
    <t>VEHÍCULOS Y EQUIPO DE TRANSPORTE</t>
  </si>
  <si>
    <t>MAQUINARIA, OTROS EQUIPOS Y HERRAMIENTAS</t>
  </si>
  <si>
    <t>ACTIVOS INTANGIBLES</t>
  </si>
  <si>
    <t>INVERSIÓN PÚBLICA</t>
  </si>
  <si>
    <t>PARTICIPACIONES Y APORTACIONES</t>
  </si>
  <si>
    <t>CONVENIOS</t>
  </si>
  <si>
    <t xml:space="preserve">RECURSOS PROPIOS </t>
  </si>
  <si>
    <t>REMUNERACIONES AL PERSONAL DE CARÁCTER PERMANENTE</t>
  </si>
  <si>
    <t>REMUNERACIONES AL PERSONAL DE CARÁCTER TRANSITORIO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</si>
  <si>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</si>
  <si>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</si>
  <si>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</si>
  <si>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</si>
  <si>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</si>
  <si>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</si>
  <si>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</si>
  <si>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</si>
  <si>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TRANSFERENCIAS, ASIGNACIONES, SUBSIDIOS Y OTRAS AYUDAS</t>
  </si>
  <si>
    <t>TRANSFERENCIAS INTERNAS Y ASIGNACIONES AL SECTOR PÚBLICO</t>
  </si>
  <si>
    <t>TRANSFERENCIAS AL RESTO DEL SECTOR PÚBLICO</t>
  </si>
  <si>
    <t>MOBILIARIO Y EQUIPO EDUCACIONAL Y RECREATIVO</t>
  </si>
  <si>
    <t>OBRA PÚBLICA EN BIENES DE DOMINIO PÚBLICO</t>
  </si>
  <si>
    <t xml:space="preserve">FONDO GENERAL DE PARTICIPACIONES </t>
  </si>
  <si>
    <t xml:space="preserve">FONDO DE FOMENTO MUNICIPAL </t>
  </si>
  <si>
    <t xml:space="preserve">FONDO DE APORTACIONES PARA EL FORTALECIMIENTO MUNICIPAL </t>
  </si>
  <si>
    <t xml:space="preserve">IMPUESTO ESPECIAL SOBRE PRODUCCION Y SERVICIOS (IPES) </t>
  </si>
  <si>
    <t xml:space="preserve">INSENTIVO A LA VENTA DE DIESEL Y GASOLINA (IPES GASOLINAS) </t>
  </si>
  <si>
    <t xml:space="preserve">IMPUESTO SOBRE AUTOMOVILES NUEVOS (ISAN) </t>
  </si>
  <si>
    <t xml:space="preserve">COMPENSACION AL IMPUESTO SOBRE AUTOMOVILES NUEVOS </t>
  </si>
  <si>
    <t xml:space="preserve">FONDO DE FISCALIZACION Y RECAUDACION </t>
  </si>
  <si>
    <t xml:space="preserve">ESTADO ANALITICO DEL EJERCICIO DEL PRESUPUESTO DE EGRESOS </t>
  </si>
  <si>
    <t xml:space="preserve">TOTAL </t>
  </si>
  <si>
    <t>MATERIALES DE ADMINISTRACIÓN, EMISIÓN DE DOCUMENTOS Y ARTÍCULOS OFICIALES</t>
  </si>
  <si>
    <t>FONDO DE APORTACIONES PARA LA INFRAESTRUCTURA SOCIAL Y MUNICIPAL (FAISM)</t>
  </si>
  <si>
    <t>COOPARTICIPACION FORTASEG</t>
  </si>
  <si>
    <t>FORTASEG</t>
  </si>
  <si>
    <t>1.1.1</t>
  </si>
  <si>
    <t>DIETAS</t>
  </si>
  <si>
    <t>1.1.3</t>
  </si>
  <si>
    <t>SUELDOS BASE AL PERSONAL PERMANENTE</t>
  </si>
  <si>
    <t>1.2.1</t>
  </si>
  <si>
    <t>HONORARIOS ASIMILABLES A SALARIOS</t>
  </si>
  <si>
    <t>1.2.2</t>
  </si>
  <si>
    <t>SUELDOS BASE AL PERSONAL EVENTUAL</t>
  </si>
  <si>
    <t>1.3.2</t>
  </si>
  <si>
    <t>PRIMAS DE VACACIONES, DOMINICAL Y GRATIFICACIÓN DE FIN DE AÑO</t>
  </si>
  <si>
    <t>PRIMA VACACIONAL</t>
  </si>
  <si>
    <t>GRATIFICACION DE FIN DE AÑO</t>
  </si>
  <si>
    <t>1.3.2.1</t>
  </si>
  <si>
    <t>1.3.2.2</t>
  </si>
  <si>
    <t>1.3.3</t>
  </si>
  <si>
    <t>HORAS EXTRAORDINARIAS</t>
  </si>
  <si>
    <t>1.3.4</t>
  </si>
  <si>
    <t>COMPENSACIONES</t>
  </si>
  <si>
    <t>1.4.4</t>
  </si>
  <si>
    <t>APORTACIONES PARA SEGUROS</t>
  </si>
  <si>
    <t>1.5.2</t>
  </si>
  <si>
    <t>INDEMNIZACIONES</t>
  </si>
  <si>
    <t>1.5.9</t>
  </si>
  <si>
    <t>1.7.1</t>
  </si>
  <si>
    <t>ESTÍMULOS</t>
  </si>
  <si>
    <t>2.1.1</t>
  </si>
  <si>
    <t>2.1.2</t>
  </si>
  <si>
    <t>2.1.4</t>
  </si>
  <si>
    <t>2.1.5</t>
  </si>
  <si>
    <t>2.1.6</t>
  </si>
  <si>
    <t>2.1.7</t>
  </si>
  <si>
    <t>MATERIALES, ÚTILES Y EQUIPOS MENORES DE OFICINA</t>
  </si>
  <si>
    <t>MATERIALES Y ÚTILES DE IMPRESIÓN Y REPRODUCCIÓN</t>
  </si>
  <si>
    <t>MATERIALES, ÚTILES Y EQUIPOS MENORES DE TECNOLOGÍAS DE LA INFORMACIÓN Y COMUNICACIONES</t>
  </si>
  <si>
    <t>MATERIAL IMPRESO E INFORMACIÓN DIGITAL</t>
  </si>
  <si>
    <t>MATERIAL DE LIMPIEZA</t>
  </si>
  <si>
    <t>MATERIALES Y ÚTILES DE ENSEÑANZA</t>
  </si>
  <si>
    <t>2.2.1</t>
  </si>
  <si>
    <t>PRODUCTOS ALIMENTICIOS PARA PERSONAS</t>
  </si>
  <si>
    <t>2.4.1</t>
  </si>
  <si>
    <t>2.4.6</t>
  </si>
  <si>
    <t>2.4.9</t>
  </si>
  <si>
    <t>PRODUCTOS MINERALES NO METÁLICOS</t>
  </si>
  <si>
    <t>MATERIAL ELÉCTRICO Y ELECTRÓNICO</t>
  </si>
  <si>
    <t>OTROS MATERIALES Y ARTÍCULOS DE CONSTRUCCIÓN Y REPARACIÓN</t>
  </si>
  <si>
    <t>2.5.3</t>
  </si>
  <si>
    <t>2.5.5</t>
  </si>
  <si>
    <t>MEDICINAS Y PRODUCTOS FARMACÉUTICOS</t>
  </si>
  <si>
    <t>MATERIALES, ACCESORIOS Y SUMINISTROS DE LABORATORIO</t>
  </si>
  <si>
    <t>2.6.1</t>
  </si>
  <si>
    <t>2.7.1</t>
  </si>
  <si>
    <t>2.7.2</t>
  </si>
  <si>
    <t>2.7.3</t>
  </si>
  <si>
    <t>VESTUARIO Y UNIFORMES</t>
  </si>
  <si>
    <t>PRENDAS DE SEGURIDAD Y PROTECCIÓN PERSONAL</t>
  </si>
  <si>
    <t>ARTÍCULOS DEPORTIVOS</t>
  </si>
  <si>
    <t>2.8.2</t>
  </si>
  <si>
    <t>2.8.3</t>
  </si>
  <si>
    <t>MATERIALES DE SEGURIDAD PÚBLICA</t>
  </si>
  <si>
    <t>PRENDAS DE PROTECCIÓN PARA SEGURIDAD PÚBLICA</t>
  </si>
  <si>
    <t>2.9.1</t>
  </si>
  <si>
    <t>2.9.2</t>
  </si>
  <si>
    <t>2.9.3</t>
  </si>
  <si>
    <t>2.9.4</t>
  </si>
  <si>
    <t>2.9.6</t>
  </si>
  <si>
    <t>HERRAMIENTAS MENORES</t>
  </si>
  <si>
    <t>REFACCIONES Y ACCESORIOS MENORES DE EDIFICIOS</t>
  </si>
  <si>
    <t>REFACCIONES Y ACCESORIOS MENORES DE MOBILIARIO Y EQUIPO DE ADMINISTRACIÓN, EDUCACIONAL Y RECREATIVO</t>
  </si>
  <si>
    <t>REFACCIONES Y ACCESORIOS MENORES DE EQUIPO DE CÓMPUTO Y TECNOLOGÍAS DE LA INFORMACIÓN</t>
  </si>
  <si>
    <t>REFACCIONES Y ACCESORIOS MENORES DE EQUIPO DE TRANSPORTE</t>
  </si>
  <si>
    <t>3.1.1</t>
  </si>
  <si>
    <t>3.1.4</t>
  </si>
  <si>
    <t>3.1.9</t>
  </si>
  <si>
    <t>ENERGÍA ELÉCTRICA</t>
  </si>
  <si>
    <t>TELEFONÍA TRADICIONAL</t>
  </si>
  <si>
    <t>SERVICIOS INTEGRALES Y OTROS SERVICIOS</t>
  </si>
  <si>
    <t>3.2.2</t>
  </si>
  <si>
    <t>3.2.3</t>
  </si>
  <si>
    <t>3.2.6</t>
  </si>
  <si>
    <t>3.2.9</t>
  </si>
  <si>
    <t>ARRENDAMIENTO DE EDIFICIOS</t>
  </si>
  <si>
    <t>ARRENDAMIENTO DE MOBILIARIO Y EQUIPO DE ADMINISTRACIÓN, EDUCACIONAL Y RECREATIVO</t>
  </si>
  <si>
    <t>ARRENDAMIENTO DE MAQUINARIA, OTROS EQUIPOS Y HERRAMIENTAS</t>
  </si>
  <si>
    <t>OTROS ARRENDAMIENTOS</t>
  </si>
  <si>
    <t>3.3.1</t>
  </si>
  <si>
    <t>3.3.2</t>
  </si>
  <si>
    <t>3.3.3</t>
  </si>
  <si>
    <t>3.3.4</t>
  </si>
  <si>
    <t>3.3.6</t>
  </si>
  <si>
    <t>3.3.7</t>
  </si>
  <si>
    <t>3.3.9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</si>
  <si>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</si>
  <si>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</si>
  <si>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</si>
  <si>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</si>
  <si>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</si>
  <si>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DE PROTECCIÓN Y SEGURIDAD</t>
  </si>
  <si>
    <t>SERVICIOS PROFESIONALES, CIENTÍFICOS Y TÉCNICOS INTEGRALES</t>
  </si>
  <si>
    <t>3.4.1</t>
  </si>
  <si>
    <t>3.4.5</t>
  </si>
  <si>
    <t>SERVICIOS FINANCIEROS Y BANCARIOS</t>
  </si>
  <si>
    <t>SEGUROS DE BIENES PATRIMONIALES</t>
  </si>
  <si>
    <t>3.5.1</t>
  </si>
  <si>
    <t>3.5.5</t>
  </si>
  <si>
    <t>3.5.7</t>
  </si>
  <si>
    <t>3.5.8</t>
  </si>
  <si>
    <t>3.5.9</t>
  </si>
  <si>
    <t>CONSERVACIÓN Y MANTENIMIENTO MENOR DE INMUEBLES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</si>
  <si>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</si>
  <si>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</si>
  <si>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</si>
  <si>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</si>
  <si>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3.6.1</t>
  </si>
  <si>
    <t>DIFUSIÓN POR RADIO, TELEVISIÓN Y OTROS MEDIOS DE MENSAJES SOBRE PROGRAM. Y ACTIVID. GUBERNAMENTALES</t>
  </si>
  <si>
    <t>3.7.2</t>
  </si>
  <si>
    <t>3.7.5</t>
  </si>
  <si>
    <t>3.7.9</t>
  </si>
  <si>
    <t>PASAJES TERRESTRES</t>
  </si>
  <si>
    <t>VIÁTICOS EN EL PAÍS</t>
  </si>
  <si>
    <t>OTROS SERVICIOS DE TRASLADO Y HOSPEDAJE</t>
  </si>
  <si>
    <t>3.8.1</t>
  </si>
  <si>
    <t>3.8.2</t>
  </si>
  <si>
    <t>3.8.3</t>
  </si>
  <si>
    <t>GASTOS DE CEREMONIAL</t>
  </si>
  <si>
    <t>GASTOS DE ORDEN SOCIAL Y CULTURAL</t>
  </si>
  <si>
    <t>CONGRESOS Y CONVENCIONES</t>
  </si>
  <si>
    <t>3.9.2</t>
  </si>
  <si>
    <t>3.9.5</t>
  </si>
  <si>
    <t>3.9.6</t>
  </si>
  <si>
    <t>3.9.8</t>
  </si>
  <si>
    <t>3.9.9</t>
  </si>
  <si>
    <t>IMPUESTOS Y DERECHOS</t>
  </si>
  <si>
    <t>PENAS, MULTAS, ACCESORIOS Y ACTUALIZACIONES</t>
  </si>
  <si>
    <t>OTROS GASTOS POR RESPONSABILIDADES</t>
  </si>
  <si>
    <t>IMPUESTO SOBRE NÓMINAS Y OTROS QUE SE DERIVEN DE UNA RELACIÓN LABORAL</t>
  </si>
  <si>
    <t>4.1.3</t>
  </si>
  <si>
    <t>4.1.4</t>
  </si>
  <si>
    <t>4.1.5</t>
  </si>
  <si>
    <t>ASIGNACIONES PRESUPUESTARIAS A INSTANCIA DE LA MUJER</t>
  </si>
  <si>
    <t>ASIGNACIONES PRESUPUESTARIAS A ÓRGANOS AUTÓNOMOS</t>
  </si>
  <si>
    <t>TRANSFERENCIAS INTERNAS OTORGADAS A ENTIDADES PARAESTATALES NO EMPRESARIALES Y NO FINANCIERAS</t>
  </si>
  <si>
    <t>4.2.4</t>
  </si>
  <si>
    <t>4.3</t>
  </si>
  <si>
    <t>4.4.1</t>
  </si>
  <si>
    <t>4.4.2</t>
  </si>
  <si>
    <t>4.4.3</t>
  </si>
  <si>
    <t>4.4.5</t>
  </si>
  <si>
    <t>TRANSFERENCIAS OTORGADAS A ENTIDADES FEDERATIVAS Y MUNICIPIOS</t>
  </si>
  <si>
    <t>AYUDAS SOCIALES A PERSONAS</t>
  </si>
  <si>
    <t>BECAS Y OTRAS AYUDAS PARA PROGRAMAS DE CAPACITACIÓN</t>
  </si>
  <si>
    <t>AYUDAS SOCIALES A INSTITUCIONES DE ENSEÑANZA</t>
  </si>
  <si>
    <t>AYUDAS SOCIALES A INSTITUCIONES SIN FINES DE LUCRO</t>
  </si>
  <si>
    <t>4.4.7</t>
  </si>
  <si>
    <t>4.4.7.1</t>
  </si>
  <si>
    <t>4.4.9</t>
  </si>
  <si>
    <t>AYUDAS SOCIALES A ENTIDADES DE INTERÉS PÚBLICO</t>
  </si>
  <si>
    <t>APOYO GESTION SOCIAL H. ASAMBLEA</t>
  </si>
  <si>
    <t>APOYO A COMUNIDADES</t>
  </si>
  <si>
    <t>4.7.1</t>
  </si>
  <si>
    <t>TRANSFERENCIAS POR OBLIGACIÓN DE LEY</t>
  </si>
  <si>
    <t>5.1.1</t>
  </si>
  <si>
    <t>5.1.5</t>
  </si>
  <si>
    <t>5.1.9</t>
  </si>
  <si>
    <t>MUEBLES DE OFICINA Y ESTANTERÍA</t>
  </si>
  <si>
    <t>EQUIPO DE CÓMPUTO Y DE TECNOLOGÍAS DE LA INFORMACIÓN</t>
  </si>
  <si>
    <t>5.2.1</t>
  </si>
  <si>
    <t>5.2.3</t>
  </si>
  <si>
    <t>5.2.9</t>
  </si>
  <si>
    <t>EQUIPOS Y APARATOS AUDIOVISUALES</t>
  </si>
  <si>
    <t>CÁMARAS FOTOGRÁFICAS Y DE VIDEO</t>
  </si>
  <si>
    <t>OTRO MOBILIARIO Y EQUIPO EDUCACIONAL Y RECREATIVO</t>
  </si>
  <si>
    <t>5.4.1</t>
  </si>
  <si>
    <t>VEHÍCULOS Y EQUIPO TERRESTRE</t>
  </si>
  <si>
    <t>5.6.5</t>
  </si>
  <si>
    <t>5.6.7</t>
  </si>
  <si>
    <t>5.6.9</t>
  </si>
  <si>
    <t>EQUIPO DE COMUNICACIÓN Y TELECOMUNICACIÓN</t>
  </si>
  <si>
    <t>HERRAMIENTAS Y MÁQUINAS-HERRAMIENTA</t>
  </si>
  <si>
    <t>OTROS EQUIPOS</t>
  </si>
  <si>
    <t>5.9.1</t>
  </si>
  <si>
    <t>SOFTWARE</t>
  </si>
  <si>
    <t>6.1.2</t>
  </si>
  <si>
    <t>6.1.3</t>
  </si>
  <si>
    <t>6.1.4</t>
  </si>
  <si>
    <t>6.1.5</t>
  </si>
  <si>
    <t>6.1.9</t>
  </si>
  <si>
    <t>EDIFICACIÓN NO HABITACIONAL</t>
  </si>
  <si>
    <t>DIVISIÓN DE TERRENOS Y CONSTRUCCIÓN DE OBRAS DE URBANIZACIÓN</t>
  </si>
  <si>
    <t>CONSTRUCCIÓN DE VÍAS DE COMUNICACIÓN</t>
  </si>
  <si>
    <t>TRABAJOS DE ACABADOS EN EDIFICACIONES Y OTROS TRABAJOS ESPECIALIZADOS</t>
  </si>
  <si>
    <t>CONSTRUCCIÓN DE OBRAS PARA EL ABASTECIMIENTO DE AGUA, PETRÓLEO, GAS, ELECTRICIDAD Y TELECOMUNICACION</t>
  </si>
  <si>
    <t>8.5.3</t>
  </si>
  <si>
    <t>OTROS CONVENIOS</t>
  </si>
  <si>
    <t xml:space="preserve">FONDO MINERO </t>
  </si>
  <si>
    <t xml:space="preserve"> EDIFICACIÓN NO HABITACIONAL </t>
  </si>
  <si>
    <t xml:space="preserve"> TRABAJOS DE ACABADOS EN EDIFICACIONES Y OTROS TRABAJOS ESPECIALIZADOS </t>
  </si>
  <si>
    <t>INSTANCIA DE LA MUJER</t>
  </si>
  <si>
    <t xml:space="preserve"> HORAS EXTRAORDINARIAS</t>
  </si>
  <si>
    <t>3.5.2</t>
  </si>
  <si>
    <t xml:space="preserve">INSTALACION REPARACIÓN Y MANTENIMIENTO DE MOBILIARIO Y EQUIPO DE ADMÓN., EDUCACIONAL Y RECR </t>
  </si>
  <si>
    <t xml:space="preserve"> AYUDAS SOCIALES A PERSONAS  </t>
  </si>
  <si>
    <t xml:space="preserve">IMPUESTOS Y DERECHOS </t>
  </si>
  <si>
    <t xml:space="preserve">OTROS MOBILIARIOS Y EQUIPOS DE  ADMINISTRACIÓN </t>
  </si>
  <si>
    <t>2.6.3</t>
  </si>
  <si>
    <t xml:space="preserve">ADEUDOS DE LA ADMINISTRACION ANTERIOR </t>
  </si>
  <si>
    <t xml:space="preserve">DIETAS </t>
  </si>
  <si>
    <t xml:space="preserve">GRATIFICACION DE FIN DE AÑO </t>
  </si>
  <si>
    <t xml:space="preserve">SERVICIOS DE CAPACITACION </t>
  </si>
  <si>
    <t>CONST. DE OBRAS PARA EL ABASTECIMIENTO DE AGUA, ELECTRICIDAD Y TELECOMUNICACIONES EN PROCESO</t>
  </si>
  <si>
    <t xml:space="preserve">DIVICION DE TERRENOS Y CONSTRUCCION DE OBRAS DE URBANIZACION </t>
  </si>
  <si>
    <t>6.1.7</t>
  </si>
  <si>
    <t>CONSTRUCCIÓN DE VÍAS DE COMUNICACIÓN EN PROCESO</t>
  </si>
  <si>
    <t xml:space="preserve">GASTOS DE ORDEN SOCIAL Y CULTURAL </t>
  </si>
  <si>
    <t xml:space="preserve">HONORARIOS ASIMILABLES A SALARIOS </t>
  </si>
  <si>
    <t>1.5.3</t>
  </si>
  <si>
    <t xml:space="preserve">PRESTACIONES Y HABERES DE RETIRO </t>
  </si>
  <si>
    <t>1.6</t>
  </si>
  <si>
    <t>1.6.1</t>
  </si>
  <si>
    <t xml:space="preserve">PREVENCIONES DE CARÁCTER LABORAL ECONOMICA Y DE SEGURIDAD SOCIAL </t>
  </si>
  <si>
    <t>PREVISIONES</t>
  </si>
  <si>
    <t>2.1.3</t>
  </si>
  <si>
    <t xml:space="preserve">MATERIAL ESTADISTICO Y GEOGRAFICO </t>
  </si>
  <si>
    <t>2.2.3</t>
  </si>
  <si>
    <t xml:space="preserve">UTENCILIOS PARA EL SERVICIO DE ALIMENTACION </t>
  </si>
  <si>
    <t>2.4.2</t>
  </si>
  <si>
    <t xml:space="preserve">CEMENTO Y PRODUCTOS DE CONCRETO </t>
  </si>
  <si>
    <t>2.4.3</t>
  </si>
  <si>
    <t xml:space="preserve">CAL, YESO Y PRODUCTOS DE YESO </t>
  </si>
  <si>
    <t>2.4.7</t>
  </si>
  <si>
    <t>2.4.8</t>
  </si>
  <si>
    <t xml:space="preserve">ARTICULOS METALICOS PARA LA CONSTRUCCION </t>
  </si>
  <si>
    <t xml:space="preserve">MATERIALES COMPLEMENTARIOS </t>
  </si>
  <si>
    <t xml:space="preserve">PRENDAS DE SEGURIDAD Y PROTECCION PERSONAL </t>
  </si>
  <si>
    <t>2.8</t>
  </si>
  <si>
    <t xml:space="preserve">PRENDAS DE PROTECCION PARA SEGURIDAD PUBLICA </t>
  </si>
  <si>
    <t>2.9.8</t>
  </si>
  <si>
    <t>REFACCIONES Y ACCESORIOS MENORES DE MAQUINARIA Y OTROS EQUIPOS</t>
  </si>
  <si>
    <t>3.1.8</t>
  </si>
  <si>
    <t>SERVICIOS POSTALES Y TELEGRÁFICOS</t>
  </si>
  <si>
    <t>3.4.4</t>
  </si>
  <si>
    <t>SEGUROS DE RESPONSABILIDAD PATRIMONIAL Y FIANZAS</t>
  </si>
  <si>
    <t>3.5.3</t>
  </si>
  <si>
    <t>INSTALACIÓN, REPARACIÓN Y MANTENIMIENTO DE MOBILIARIO Y EQUIPO DE ADMÓN., EDUCACIONAL Y RECREATIVO</t>
  </si>
  <si>
    <t>INSTALACIÓN, REPARACIÓN Y MANTENIMIENTO DE EQUIPO DE CÓMPUTO Y TECNOLOGÍAS DE LA INFORMACIÓN</t>
  </si>
  <si>
    <t>3.5.6</t>
  </si>
  <si>
    <t>REPARACIÓN Y MANTENIMIENTO DE EQUIPO DE DEFENSA Y SEGURIDAD</t>
  </si>
  <si>
    <t xml:space="preserve">VIATICOS EN EL PAIS </t>
  </si>
  <si>
    <t>3.7.8</t>
  </si>
  <si>
    <t>SERVICIOS INTEGRALES DE TRASLADO Y VIÁTICOS</t>
  </si>
  <si>
    <t>4.4.8</t>
  </si>
  <si>
    <t>AYUDAS POR DESASTRES NATURALES Y OTROS SINIESTROS</t>
  </si>
  <si>
    <t>4.5</t>
  </si>
  <si>
    <t>4.5.1</t>
  </si>
  <si>
    <t>PENSIONES Y JUBILACIONES</t>
  </si>
  <si>
    <t>PENSIONES</t>
  </si>
  <si>
    <t>4.5.2</t>
  </si>
  <si>
    <t xml:space="preserve">JUBILACIONES </t>
  </si>
  <si>
    <t>5.1.2</t>
  </si>
  <si>
    <t>MUEBLES, EXCEPTO DE OFICINA Y ESTANTERÍA</t>
  </si>
  <si>
    <t>5.6.6</t>
  </si>
  <si>
    <t>EQUIPOS DE GENERACIÓN ELÉCTRICA, APARATOS Y ACCESORIOS ELÉCTRICOS</t>
  </si>
  <si>
    <t>INSTALACIONES Y EQUIPAMIENTO EN CONSTRUCCIONES</t>
  </si>
  <si>
    <t>PREVISIONES DE CARÁCTER LABORAL, ECONÓMICA Y DE SEGURIDAD SOCIAL</t>
  </si>
  <si>
    <t>3</t>
  </si>
  <si>
    <t>3.9</t>
  </si>
  <si>
    <t xml:space="preserve">OTROS SERVICIOS GENERALES </t>
  </si>
  <si>
    <t xml:space="preserve">COMPENSACIONES </t>
  </si>
  <si>
    <t>ARTÍCULOS METÁLICOS PARA LA CONSTRUCCIÓN</t>
  </si>
  <si>
    <t>MATERIALES COMPLEMENTARIOS</t>
  </si>
  <si>
    <t>2.5.9</t>
  </si>
  <si>
    <t xml:space="preserve">OTROS PRODUCTOS QUIMICOS </t>
  </si>
  <si>
    <t>2.7</t>
  </si>
  <si>
    <t>2.8.1</t>
  </si>
  <si>
    <t xml:space="preserve">SUSTANCIAS Y MATERIALES EXPLOSIVOS </t>
  </si>
  <si>
    <t>2.9</t>
  </si>
  <si>
    <t>2.9.9</t>
  </si>
  <si>
    <t xml:space="preserve">   HERRAMIENTAS, REFACCIONES Y ACCESORIOS MENORES</t>
  </si>
  <si>
    <t xml:space="preserve">      HERRAMIENTAS MENORES</t>
  </si>
  <si>
    <t xml:space="preserve">      REFACCIONES Y ACCESORIOS MENORES DE EDIFICIOS</t>
  </si>
  <si>
    <t xml:space="preserve">      REFACCIONES Y ACCESORIOS MENORES DE MOBILIARIO Y EQUIPO DE ADMINISTRACIÓN, EDUCACIONAL Y RECREATIVO</t>
  </si>
  <si>
    <t xml:space="preserve">      REFACCIONES Y ACCESORIOS MENORES DE EQUIPO DE CÓMPUTO Y TECNOLOGÍAS DE LA INFORMACIÓN</t>
  </si>
  <si>
    <t xml:space="preserve">      REFACCIONES Y ACCESORIOS MENORES OTROS BIENES MUEBLES</t>
  </si>
  <si>
    <t>3.1.7</t>
  </si>
  <si>
    <t>SERVICIOS DE ACCESO DE INTERNET, REDES Y PROCESAMIENTO DE INFORMACIÓN</t>
  </si>
  <si>
    <t>3.6</t>
  </si>
  <si>
    <t>5.2</t>
  </si>
  <si>
    <t>5.5</t>
  </si>
  <si>
    <t>5.5.1</t>
  </si>
  <si>
    <t>EQUIPO DE DEFENSA Y SEGURIDAD</t>
  </si>
  <si>
    <t xml:space="preserve">OTROS EQUIPOS </t>
  </si>
  <si>
    <t>2.1</t>
  </si>
  <si>
    <t>2.4</t>
  </si>
  <si>
    <t>CEMENTO Y PRODUCTOS DE CONCRETO</t>
  </si>
  <si>
    <t>4.4</t>
  </si>
  <si>
    <t xml:space="preserve">MATERIALES, UTILES DE IMPRESIÓN Y REPRODUCCION </t>
  </si>
  <si>
    <t>3.3</t>
  </si>
  <si>
    <t>1.5</t>
  </si>
  <si>
    <t>1.5.5</t>
  </si>
  <si>
    <t>APOYOS A LA CAPACITACIÓN DE LOS SERVIDORES PÚBLICOS</t>
  </si>
  <si>
    <t>1.7</t>
  </si>
  <si>
    <t xml:space="preserve">   ALIMENTOS Y UTENSILIOS</t>
  </si>
  <si>
    <t>UTENSILIOS PARA EL SERVICIO DE ALIMENTACIÓN</t>
  </si>
  <si>
    <t>3.4</t>
  </si>
  <si>
    <t>2</t>
  </si>
  <si>
    <t>2.2</t>
  </si>
  <si>
    <t>3.8</t>
  </si>
  <si>
    <t>MUNICIPIO DE MINERAL DE LA REFORMA, HGO.</t>
  </si>
  <si>
    <t xml:space="preserve">POR FUENTE DE FINANCIAMIENTO </t>
  </si>
  <si>
    <t>OTROS MOBILIARIOS Y EQUIPOS DE ADMINISTRACIÓN</t>
  </si>
  <si>
    <t>5.4</t>
  </si>
  <si>
    <t>5.4.2</t>
  </si>
  <si>
    <t>CARROCERÍAS Y REMOLQUES</t>
  </si>
  <si>
    <t>ISR 2018</t>
  </si>
  <si>
    <t>2.2.4</t>
  </si>
  <si>
    <t xml:space="preserve">BIENES DE CONSUMO </t>
  </si>
  <si>
    <t>3.2.5</t>
  </si>
  <si>
    <t>ARRENDAMIENTO DE EQUIPO DE TRANSPORTE</t>
  </si>
  <si>
    <t>3.3.5</t>
  </si>
  <si>
    <t>SERVICIOS DE INVESTIGACIÓN CIENTÍFICA Y DESARROLLO</t>
  </si>
  <si>
    <t>5.3</t>
  </si>
  <si>
    <t>5.3.1</t>
  </si>
  <si>
    <t xml:space="preserve">EQUIPO MÉDICO Y DE LABORATORIO </t>
  </si>
  <si>
    <t xml:space="preserve"> CÁMARAS FOTOGRÁFICAS Y DE VIDEO</t>
  </si>
  <si>
    <t>5.6</t>
  </si>
  <si>
    <t>5.4.9</t>
  </si>
  <si>
    <t>OTROS EQUIPOS DE TRANSPORTE</t>
  </si>
  <si>
    <t xml:space="preserve">MATERIALES UTILES EQUIPOS MENORES DE TECNOLOGIAS DE LA INFORMACION Y COMUNICACIONES </t>
  </si>
  <si>
    <t xml:space="preserve">OTROS MATERIALES Y ARTICULOS DE CONSTRUCCION Y REPARACION </t>
  </si>
  <si>
    <t xml:space="preserve">EQUIPOS MENORES DE TECNOLOGIAS DE LA INFORMACION Y COMUNICACIONES </t>
  </si>
  <si>
    <t xml:space="preserve">ARTICULOS DEPORTIVOS </t>
  </si>
  <si>
    <t xml:space="preserve">OTRAS PRESTACIONES SOCIALES Y ECONOMICAS </t>
  </si>
  <si>
    <t xml:space="preserve">INDEMNIZACIONES </t>
  </si>
  <si>
    <t xml:space="preserve"> SERVICIOS FINANCIEROS Y BANCARIOS </t>
  </si>
  <si>
    <t xml:space="preserve"> SERVICIOS FINANCIEROS, BANCARIOS Y COMERCIALES </t>
  </si>
  <si>
    <t xml:space="preserve">VESTUARIOS Y UNIFORMES </t>
  </si>
  <si>
    <t xml:space="preserve">FONDO NACIONAL EMPRENDEDOR </t>
  </si>
  <si>
    <t xml:space="preserve">SERVICIOS GENERALES </t>
  </si>
  <si>
    <t xml:space="preserve">SERVICIOS PROFESIONALES CIENTIFICOS TECNICOS Y OTROS SERVICIOS </t>
  </si>
  <si>
    <t>5.1</t>
  </si>
  <si>
    <t xml:space="preserve">GASTOS DE FUNCIONAMIENTO </t>
  </si>
  <si>
    <t>5</t>
  </si>
  <si>
    <t xml:space="preserve">GASTOS Y OTRAS PERDIDAS </t>
  </si>
  <si>
    <t>PROYECTO DE DESARROLLO REGIONAL 2018</t>
  </si>
  <si>
    <t>DIVISIÓN DE TERRENOS Y CONSTRUCCIÓN DE  OBRAS DE URBANIZACIÓN</t>
  </si>
  <si>
    <t>3.4.7</t>
  </si>
  <si>
    <t xml:space="preserve">FLETES Y MANIOBRAS </t>
  </si>
  <si>
    <t>4.3.1</t>
  </si>
  <si>
    <t xml:space="preserve">SUBSIDIOS A LA PRODUCCION </t>
  </si>
  <si>
    <t>EQUIPO E INSTRUMENTAL MÉDICO Y DE LABORATORIO</t>
  </si>
  <si>
    <t>1.4</t>
  </si>
  <si>
    <t>1.4.1</t>
  </si>
  <si>
    <t xml:space="preserve">APORTACIONES DE SEGURIDAD SOCIAL </t>
  </si>
  <si>
    <t xml:space="preserve">SEGURIDAD SOCIAL </t>
  </si>
  <si>
    <t>DEL 01 ENERO AL 31 DICIEMBRE DEL 2018</t>
  </si>
  <si>
    <t xml:space="preserve">SERVICIOS DE APOYO ADMINISTRATIVO </t>
  </si>
  <si>
    <t xml:space="preserve">FONDO DE COMPENSACION </t>
  </si>
  <si>
    <t xml:space="preserve">PROGRAMA EQUIPO Y MAQUINARIA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</si>
</sst>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.000000000_ ;\-#,##0.00000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49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43" fontId="2" fillId="0" borderId="0" xfId="1" applyFont="1" applyFill="1"/>
    <xf numFmtId="49" fontId="2" fillId="0" borderId="0" xfId="1" applyNumberFormat="1" applyFont="1" applyFill="1" applyAlignment="1">
      <alignment horizontal="left"/>
    </xf>
    <xf numFmtId="4" fontId="2" fillId="0" borderId="0" xfId="1" applyNumberFormat="1" applyFont="1" applyFill="1"/>
    <xf numFmtId="164" fontId="3" fillId="0" borderId="0" xfId="1" applyNumberFormat="1" applyFont="1" applyFill="1"/>
    <xf numFmtId="43" fontId="2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0" xfId="0" applyNumberFormat="1" applyFont="1" applyFill="1"/>
    <xf numFmtId="43" fontId="3" fillId="0" borderId="0" xfId="1" applyFont="1" applyFill="1"/>
    <xf numFmtId="164" fontId="2" fillId="0" borderId="0" xfId="1" applyNumberFormat="1" applyFont="1" applyFill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43" fontId="5" fillId="0" borderId="0" xfId="1" applyFont="1" applyFill="1"/>
    <xf numFmtId="0" fontId="6" fillId="0" borderId="0" xfId="0" applyFont="1" applyFill="1"/>
    <xf numFmtId="43" fontId="6" fillId="0" borderId="0" xfId="0" applyNumberFormat="1" applyFont="1" applyFill="1"/>
    <xf numFmtId="4" fontId="2" fillId="0" borderId="0" xfId="0" applyNumberFormat="1" applyFont="1" applyFill="1"/>
    <xf numFmtId="4" fontId="3" fillId="0" borderId="0" xfId="1" applyNumberFormat="1" applyFont="1" applyFill="1"/>
    <xf numFmtId="4" fontId="3" fillId="0" borderId="0" xfId="0" applyNumberFormat="1" applyFont="1" applyFill="1"/>
    <xf numFmtId="0" fontId="2" fillId="0" borderId="0" xfId="0" applyFont="1" applyFill="1" applyAlignment="1">
      <alignment horizontal="left"/>
    </xf>
    <xf numFmtId="43" fontId="2" fillId="0" borderId="0" xfId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3" fontId="5" fillId="0" borderId="0" xfId="0" applyNumberFormat="1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5" fontId="2" fillId="0" borderId="0" xfId="0" applyNumberFormat="1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0" xfId="1" applyNumberFormat="1" applyFont="1" applyFill="1"/>
    <xf numFmtId="49" fontId="3" fillId="0" borderId="0" xfId="1" applyNumberFormat="1" applyFont="1" applyFill="1" applyAlignment="1">
      <alignment horizontal="left"/>
    </xf>
    <xf numFmtId="164" fontId="7" fillId="0" borderId="0" xfId="1" applyNumberFormat="1" applyFont="1" applyFill="1"/>
    <xf numFmtId="4" fontId="7" fillId="0" borderId="0" xfId="1" applyNumberFormat="1" applyFont="1" applyFill="1"/>
    <xf numFmtId="49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1048820</xdr:colOff>
      <xdr:row>0</xdr:row>
      <xdr:rowOff>0</xdr:rowOff>
    </xdr:from>
    <xdr:to>
      <xdr:col>7</xdr:col>
      <xdr:colOff>990323</xdr:colOff>
      <xdr:row>5</xdr:row>
      <xdr:rowOff>160405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090" y="0"/>
          <a:ext cx="1317491" cy="105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9525</xdr:rowOff>
    </xdr:from>
    <xdr:to>
      <xdr:col>1</xdr:col>
      <xdr:colOff>749157</xdr:colOff>
      <xdr:row>5</xdr:row>
      <xdr:rowOff>293252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1156806" cy="1182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310966</xdr:colOff>
      <xdr:row>733</xdr:row>
      <xdr:rowOff>123825</xdr:rowOff>
    </xdr:from>
    <xdr:to>
      <xdr:col>7</xdr:col>
      <xdr:colOff>434232</xdr:colOff>
      <xdr:row>756</xdr:row>
      <xdr:rowOff>67795</xdr:rowOff>
    </xdr:to>
    <xdr:sp macro="" textlink="">
      <xdr:nvSpPr>
        <xdr:cNvPr id="4" name="3 CuadroTexto"/>
        <xdr:cNvSpPr txBox="1"/>
      </xdr:nvSpPr>
      <xdr:spPr>
        <a:xfrm>
          <a:off x="901516" y="83858100"/>
          <a:ext cx="10200716" cy="432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L.C.P. MARIANA JIMENEZ FERNANDEZ                                                                                                               L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3"/>
  <sheetViews>
    <sheetView tabSelected="1" view="pageBreakPreview" zoomScaleNormal="103" zoomScaleSheetLayoutView="100" workbookViewId="0">
      <pane ySplit="8" topLeftCell="A9" activePane="bottomLeft" state="frozen"/>
      <selection activeCell="B26" sqref="B26"/>
      <selection pane="bottomLeft" activeCell="A8" sqref="A8"/>
    </sheetView>
  </sheetViews>
  <sheetFormatPr baseColWidth="10" defaultRowHeight="15" x14ac:dyDescent="0.25"/>
  <cols>
    <col min="1" max="1" width="8.85546875" style="9" customWidth="1"/>
    <col min="2" max="2" width="51.28515625" style="2" customWidth="1"/>
    <col min="3" max="3" width="20.140625" style="2" customWidth="1"/>
    <col min="4" max="4" width="18" style="2" customWidth="1"/>
    <col min="5" max="5" width="19.5703125" style="2" customWidth="1"/>
    <col min="6" max="6" width="20.140625" style="2" customWidth="1"/>
    <col min="7" max="7" width="20.7109375" style="2" customWidth="1"/>
    <col min="8" max="8" width="19.28515625" style="2" customWidth="1"/>
    <col min="9" max="9" width="13.140625" style="2" bestFit="1" customWidth="1"/>
    <col min="10" max="10" width="18.42578125" style="2" bestFit="1" customWidth="1"/>
    <col min="11" max="16384" width="11.42578125" style="2"/>
  </cols>
  <sheetData>
    <row r="1" spans="1:10" x14ac:dyDescent="0.25">
      <c r="A1" s="38" t="s">
        <v>374</v>
      </c>
      <c r="B1" s="38"/>
      <c r="C1" s="38"/>
      <c r="D1" s="38"/>
      <c r="E1" s="38"/>
      <c r="F1" s="38"/>
      <c r="G1" s="38"/>
      <c r="H1" s="38"/>
    </row>
    <row r="2" spans="1:10" x14ac:dyDescent="0.25">
      <c r="A2" s="38" t="s">
        <v>62</v>
      </c>
      <c r="B2" s="38"/>
      <c r="C2" s="38"/>
      <c r="D2" s="38"/>
      <c r="E2" s="38"/>
      <c r="F2" s="38"/>
      <c r="G2" s="38"/>
      <c r="H2" s="38"/>
    </row>
    <row r="3" spans="1:10" x14ac:dyDescent="0.25">
      <c r="A3" s="39" t="s">
        <v>375</v>
      </c>
      <c r="B3" s="39"/>
      <c r="C3" s="39"/>
      <c r="D3" s="39"/>
      <c r="E3" s="39"/>
      <c r="F3" s="39"/>
      <c r="G3" s="39"/>
      <c r="H3" s="39"/>
    </row>
    <row r="4" spans="1:10" x14ac:dyDescent="0.25">
      <c r="A4" s="39" t="s">
        <v>421</v>
      </c>
      <c r="B4" s="39"/>
      <c r="C4" s="39"/>
      <c r="D4" s="39"/>
      <c r="E4" s="39"/>
      <c r="F4" s="39"/>
      <c r="G4" s="39"/>
      <c r="H4" s="39"/>
    </row>
    <row r="5" spans="1:10" ht="9.75" customHeight="1" x14ac:dyDescent="0.25">
      <c r="A5" s="28"/>
      <c r="B5" s="28"/>
      <c r="C5" s="28"/>
      <c r="D5" s="28"/>
      <c r="F5" s="28"/>
      <c r="G5" s="28"/>
      <c r="H5" s="28"/>
    </row>
    <row r="6" spans="1:10" ht="23.25" customHeight="1" x14ac:dyDescent="0.25">
      <c r="A6" s="28"/>
      <c r="B6" s="27" t="s">
        <v>0</v>
      </c>
      <c r="C6" s="27" t="s">
        <v>1</v>
      </c>
      <c r="D6" s="27" t="s">
        <v>2</v>
      </c>
      <c r="E6" s="27" t="s">
        <v>1</v>
      </c>
      <c r="F6" s="27" t="s">
        <v>1</v>
      </c>
      <c r="G6" s="27" t="s">
        <v>1</v>
      </c>
      <c r="H6" s="27" t="s">
        <v>3</v>
      </c>
    </row>
    <row r="7" spans="1:10" x14ac:dyDescent="0.25">
      <c r="A7" s="28"/>
      <c r="B7" s="27"/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7" t="s">
        <v>9</v>
      </c>
    </row>
    <row r="8" spans="1:10" x14ac:dyDescent="0.25">
      <c r="A8" s="28"/>
      <c r="B8" s="27"/>
      <c r="C8" s="27">
        <v>-1</v>
      </c>
      <c r="D8" s="27">
        <v>-2</v>
      </c>
      <c r="E8" s="27" t="s">
        <v>10</v>
      </c>
      <c r="F8" s="27">
        <v>-4</v>
      </c>
      <c r="G8" s="27">
        <v>-5</v>
      </c>
      <c r="H8" s="27" t="s">
        <v>11</v>
      </c>
    </row>
    <row r="9" spans="1:10" x14ac:dyDescent="0.25">
      <c r="A9" s="28"/>
      <c r="B9" s="27"/>
      <c r="C9" s="25"/>
      <c r="D9" s="24"/>
      <c r="E9" s="23"/>
      <c r="F9" s="24"/>
      <c r="G9" s="24"/>
      <c r="H9" s="27"/>
    </row>
    <row r="10" spans="1:10" s="17" customFormat="1" ht="15.75" x14ac:dyDescent="0.25">
      <c r="A10" s="14" t="s">
        <v>38</v>
      </c>
      <c r="B10" s="15"/>
      <c r="C10" s="16">
        <f t="shared" ref="C10:H10" si="0">+C11+C32+C71+C121+C142+C165+C173</f>
        <v>134981247.68000001</v>
      </c>
      <c r="D10" s="16">
        <f t="shared" si="0"/>
        <v>21298504.68</v>
      </c>
      <c r="E10" s="16">
        <f t="shared" si="0"/>
        <v>156279752.35999998</v>
      </c>
      <c r="F10" s="16">
        <f t="shared" si="0"/>
        <v>153437189.29999998</v>
      </c>
      <c r="G10" s="16">
        <f t="shared" si="0"/>
        <v>153196471.32999998</v>
      </c>
      <c r="H10" s="16">
        <f t="shared" si="0"/>
        <v>2842563.0599999987</v>
      </c>
      <c r="I10" s="29"/>
      <c r="J10" s="18"/>
    </row>
    <row r="11" spans="1:10" x14ac:dyDescent="0.25">
      <c r="A11" s="5">
        <v>1</v>
      </c>
      <c r="B11" s="4" t="s">
        <v>12</v>
      </c>
      <c r="C11" s="6">
        <f>+C12+C15+C18+C24+C30+C28</f>
        <v>31148852.559999999</v>
      </c>
      <c r="D11" s="6">
        <f t="shared" ref="D11:G11" si="1">+D12+D15+D18+D24+D30+D28</f>
        <v>1571708.8699999982</v>
      </c>
      <c r="E11" s="6">
        <f t="shared" si="1"/>
        <v>32720561.429999996</v>
      </c>
      <c r="F11" s="6">
        <f>+F12+F15+F18+F24+F30+F28</f>
        <v>32573811.739999998</v>
      </c>
      <c r="G11" s="6">
        <f t="shared" si="1"/>
        <v>32573811.739999998</v>
      </c>
      <c r="H11" s="6">
        <f>+H12+H15+H18+H24+H30+H28</f>
        <v>146749.68999999994</v>
      </c>
      <c r="I11" s="29"/>
      <c r="J11" s="12"/>
    </row>
    <row r="12" spans="1:10" s="3" customFormat="1" x14ac:dyDescent="0.25">
      <c r="A12" s="1">
        <v>1.1000000000000001</v>
      </c>
      <c r="B12" s="3" t="s">
        <v>39</v>
      </c>
      <c r="C12" s="13">
        <f>+C13+C14</f>
        <v>15788610</v>
      </c>
      <c r="D12" s="13">
        <f t="shared" ref="D12:G12" si="2">+D13+D14</f>
        <v>-10657955</v>
      </c>
      <c r="E12" s="13">
        <f t="shared" si="2"/>
        <v>5130655</v>
      </c>
      <c r="F12" s="13">
        <f t="shared" si="2"/>
        <v>5130655</v>
      </c>
      <c r="G12" s="13">
        <f t="shared" si="2"/>
        <v>5130655</v>
      </c>
      <c r="H12" s="13">
        <f>+H13+H14</f>
        <v>0</v>
      </c>
      <c r="I12" s="29"/>
    </row>
    <row r="13" spans="1:10" x14ac:dyDescent="0.25">
      <c r="A13" s="10" t="s">
        <v>68</v>
      </c>
      <c r="B13" s="2" t="s">
        <v>69</v>
      </c>
      <c r="C13" s="7">
        <v>0</v>
      </c>
      <c r="D13" s="7">
        <v>0</v>
      </c>
      <c r="E13" s="7">
        <f>+C13+D13</f>
        <v>0</v>
      </c>
      <c r="F13" s="7">
        <v>0</v>
      </c>
      <c r="G13" s="7">
        <f>+F13</f>
        <v>0</v>
      </c>
      <c r="H13" s="7">
        <f>+E13-F13</f>
        <v>0</v>
      </c>
      <c r="I13" s="29"/>
    </row>
    <row r="14" spans="1:10" x14ac:dyDescent="0.25">
      <c r="A14" s="10" t="s">
        <v>70</v>
      </c>
      <c r="B14" s="2" t="s">
        <v>71</v>
      </c>
      <c r="C14" s="7">
        <v>15788610</v>
      </c>
      <c r="D14" s="7">
        <f>5130655-C14</f>
        <v>-10657955</v>
      </c>
      <c r="E14" s="7">
        <f>+C14+D14</f>
        <v>5130655</v>
      </c>
      <c r="F14" s="7">
        <v>5130655</v>
      </c>
      <c r="G14" s="7">
        <f>+F14</f>
        <v>5130655</v>
      </c>
      <c r="H14" s="7">
        <f>+E14-F14</f>
        <v>0</v>
      </c>
      <c r="I14" s="29"/>
    </row>
    <row r="15" spans="1:10" s="3" customFormat="1" x14ac:dyDescent="0.25">
      <c r="A15" s="1">
        <v>1.2</v>
      </c>
      <c r="B15" s="3" t="s">
        <v>40</v>
      </c>
      <c r="C15" s="13">
        <f>+C17+C16</f>
        <v>10100000</v>
      </c>
      <c r="D15" s="13">
        <f t="shared" ref="D15:H15" si="3">+D17+D16</f>
        <v>13781741.309999999</v>
      </c>
      <c r="E15" s="13">
        <f t="shared" si="3"/>
        <v>23881741.309999999</v>
      </c>
      <c r="F15" s="13">
        <f t="shared" si="3"/>
        <v>23881741.309999999</v>
      </c>
      <c r="G15" s="13">
        <f t="shared" si="3"/>
        <v>23881741.309999999</v>
      </c>
      <c r="H15" s="13">
        <f t="shared" si="3"/>
        <v>0</v>
      </c>
      <c r="I15" s="29"/>
    </row>
    <row r="16" spans="1:10" x14ac:dyDescent="0.25">
      <c r="A16" s="10" t="s">
        <v>72</v>
      </c>
      <c r="B16" s="2" t="s">
        <v>281</v>
      </c>
      <c r="C16" s="7">
        <v>150000</v>
      </c>
      <c r="D16" s="7">
        <v>-150000</v>
      </c>
      <c r="E16" s="7">
        <f>+C16+D16</f>
        <v>0</v>
      </c>
      <c r="F16" s="7">
        <v>0</v>
      </c>
      <c r="G16" s="7">
        <f>+F16</f>
        <v>0</v>
      </c>
      <c r="H16" s="7">
        <f t="shared" ref="H16:H17" si="4">+E16-F16</f>
        <v>0</v>
      </c>
      <c r="I16" s="29"/>
    </row>
    <row r="17" spans="1:9" x14ac:dyDescent="0.25">
      <c r="A17" s="10" t="s">
        <v>74</v>
      </c>
      <c r="B17" s="2" t="s">
        <v>75</v>
      </c>
      <c r="C17" s="7">
        <v>9950000</v>
      </c>
      <c r="D17" s="7">
        <f>23881741.31-C17</f>
        <v>13931741.309999999</v>
      </c>
      <c r="E17" s="7">
        <f>+C17+D17</f>
        <v>23881741.309999999</v>
      </c>
      <c r="F17" s="7">
        <v>23881741.309999999</v>
      </c>
      <c r="G17" s="7">
        <f>+F17</f>
        <v>23881741.309999999</v>
      </c>
      <c r="H17" s="7">
        <f t="shared" si="4"/>
        <v>0</v>
      </c>
      <c r="I17" s="29"/>
    </row>
    <row r="18" spans="1:9" s="3" customFormat="1" x14ac:dyDescent="0.25">
      <c r="A18" s="1">
        <v>1.3</v>
      </c>
      <c r="B18" s="3" t="s">
        <v>13</v>
      </c>
      <c r="C18" s="13">
        <f>+C19+C22+C23</f>
        <v>785242.56</v>
      </c>
      <c r="D18" s="13">
        <f t="shared" ref="D18:H18" si="5">+D19+D22+D23</f>
        <v>-632631.07000000007</v>
      </c>
      <c r="E18" s="13">
        <f t="shared" si="5"/>
        <v>152611.49</v>
      </c>
      <c r="F18" s="13">
        <f t="shared" si="5"/>
        <v>152611.49</v>
      </c>
      <c r="G18" s="13">
        <f t="shared" si="5"/>
        <v>152611.49</v>
      </c>
      <c r="H18" s="13">
        <f t="shared" si="5"/>
        <v>0</v>
      </c>
      <c r="I18" s="29"/>
    </row>
    <row r="19" spans="1:9" x14ac:dyDescent="0.25">
      <c r="A19" s="10" t="s">
        <v>76</v>
      </c>
      <c r="B19" s="2" t="s">
        <v>77</v>
      </c>
      <c r="C19" s="7">
        <f>+C20+C21</f>
        <v>335242.56</v>
      </c>
      <c r="D19" s="7">
        <f t="shared" ref="D19:G19" si="6">+D20+D21</f>
        <v>-221258.56</v>
      </c>
      <c r="E19" s="7">
        <f t="shared" si="6"/>
        <v>113984</v>
      </c>
      <c r="F19" s="7">
        <f t="shared" si="6"/>
        <v>113984</v>
      </c>
      <c r="G19" s="7">
        <f t="shared" si="6"/>
        <v>113984</v>
      </c>
      <c r="H19" s="7">
        <f>+E19-F19</f>
        <v>0</v>
      </c>
      <c r="I19" s="29"/>
    </row>
    <row r="20" spans="1:9" x14ac:dyDescent="0.25">
      <c r="A20" s="10" t="s">
        <v>80</v>
      </c>
      <c r="B20" s="2" t="s">
        <v>78</v>
      </c>
      <c r="C20" s="7">
        <v>5087.4399999999996</v>
      </c>
      <c r="D20" s="7">
        <f>113984-C20</f>
        <v>108896.56</v>
      </c>
      <c r="E20" s="7">
        <f>+C20+D20</f>
        <v>113984</v>
      </c>
      <c r="F20" s="7">
        <v>113984</v>
      </c>
      <c r="G20" s="7">
        <f>+F20</f>
        <v>113984</v>
      </c>
      <c r="H20" s="7">
        <f t="shared" ref="H20:H21" si="7">+E20-F20</f>
        <v>0</v>
      </c>
      <c r="I20" s="29"/>
    </row>
    <row r="21" spans="1:9" x14ac:dyDescent="0.25">
      <c r="A21" s="10" t="s">
        <v>81</v>
      </c>
      <c r="B21" s="2" t="s">
        <v>274</v>
      </c>
      <c r="C21" s="7">
        <v>330155.12</v>
      </c>
      <c r="D21" s="7">
        <f>0-C21</f>
        <v>-330155.12</v>
      </c>
      <c r="E21" s="7">
        <f>+C21+D21</f>
        <v>0</v>
      </c>
      <c r="F21" s="7">
        <v>0</v>
      </c>
      <c r="G21" s="7">
        <f>+F21</f>
        <v>0</v>
      </c>
      <c r="H21" s="7">
        <f t="shared" si="7"/>
        <v>0</v>
      </c>
      <c r="I21" s="29"/>
    </row>
    <row r="22" spans="1:9" x14ac:dyDescent="0.25">
      <c r="A22" s="10" t="s">
        <v>82</v>
      </c>
      <c r="B22" s="2" t="s">
        <v>83</v>
      </c>
      <c r="C22" s="7">
        <v>0</v>
      </c>
      <c r="D22" s="7">
        <v>38627.49</v>
      </c>
      <c r="E22" s="7">
        <f>+C22+D22</f>
        <v>38627.49</v>
      </c>
      <c r="F22" s="7">
        <v>38627.49</v>
      </c>
      <c r="G22" s="7">
        <f>+F22</f>
        <v>38627.49</v>
      </c>
      <c r="H22" s="7">
        <f>+E22-F22</f>
        <v>0</v>
      </c>
      <c r="I22" s="29"/>
    </row>
    <row r="23" spans="1:9" x14ac:dyDescent="0.25">
      <c r="A23" s="10" t="s">
        <v>84</v>
      </c>
      <c r="B23" s="2" t="s">
        <v>85</v>
      </c>
      <c r="C23" s="7">
        <v>450000</v>
      </c>
      <c r="D23" s="7">
        <f>0-C23</f>
        <v>-450000</v>
      </c>
      <c r="E23" s="7">
        <f>+C23+D23</f>
        <v>0</v>
      </c>
      <c r="F23" s="7">
        <v>0</v>
      </c>
      <c r="G23" s="7">
        <f>+F23</f>
        <v>0</v>
      </c>
      <c r="H23" s="7">
        <f>+E23-F23</f>
        <v>0</v>
      </c>
      <c r="I23" s="29"/>
    </row>
    <row r="24" spans="1:9" s="3" customFormat="1" x14ac:dyDescent="0.25">
      <c r="A24" s="1">
        <v>1.5</v>
      </c>
      <c r="B24" s="3" t="s">
        <v>15</v>
      </c>
      <c r="C24" s="13">
        <f>+C25+C27+C26</f>
        <v>3200000</v>
      </c>
      <c r="D24" s="13">
        <f t="shared" ref="D24:H24" si="8">+D25+D27+D26</f>
        <v>281053.62999999989</v>
      </c>
      <c r="E24" s="13">
        <f t="shared" si="8"/>
        <v>3481053.63</v>
      </c>
      <c r="F24" s="13">
        <f t="shared" si="8"/>
        <v>3334303.94</v>
      </c>
      <c r="G24" s="13">
        <f t="shared" si="8"/>
        <v>3334303.94</v>
      </c>
      <c r="H24" s="13">
        <f t="shared" si="8"/>
        <v>146749.68999999994</v>
      </c>
      <c r="I24" s="29"/>
    </row>
    <row r="25" spans="1:9" x14ac:dyDescent="0.25">
      <c r="A25" s="10" t="s">
        <v>88</v>
      </c>
      <c r="B25" s="2" t="s">
        <v>89</v>
      </c>
      <c r="C25" s="7">
        <v>2500000</v>
      </c>
      <c r="D25" s="7">
        <f>3016167.63-C25</f>
        <v>516167.62999999989</v>
      </c>
      <c r="E25" s="7">
        <f>+C25+D25</f>
        <v>3016167.63</v>
      </c>
      <c r="F25" s="7">
        <v>2869417.94</v>
      </c>
      <c r="G25" s="7">
        <f>+F25</f>
        <v>2869417.94</v>
      </c>
      <c r="H25" s="7">
        <f>+E25-F25</f>
        <v>146749.68999999994</v>
      </c>
      <c r="I25" s="29"/>
    </row>
    <row r="26" spans="1:9" x14ac:dyDescent="0.25">
      <c r="A26" s="10" t="s">
        <v>282</v>
      </c>
      <c r="B26" s="2" t="s">
        <v>283</v>
      </c>
      <c r="C26" s="7">
        <v>350000</v>
      </c>
      <c r="D26" s="7">
        <f>0-C26</f>
        <v>-350000</v>
      </c>
      <c r="E26" s="7">
        <f>+C26+D26</f>
        <v>0</v>
      </c>
      <c r="F26" s="7">
        <v>0</v>
      </c>
      <c r="G26" s="7">
        <f>+F26</f>
        <v>0</v>
      </c>
      <c r="H26" s="7">
        <f t="shared" ref="H26:H27" si="9">++E26-F26</f>
        <v>0</v>
      </c>
      <c r="I26" s="29"/>
    </row>
    <row r="27" spans="1:9" x14ac:dyDescent="0.25">
      <c r="A27" s="10" t="s">
        <v>90</v>
      </c>
      <c r="B27" s="2" t="s">
        <v>15</v>
      </c>
      <c r="C27" s="7">
        <v>350000</v>
      </c>
      <c r="D27" s="7">
        <f>464886-C27</f>
        <v>114886</v>
      </c>
      <c r="E27" s="7">
        <f>+C27+D27</f>
        <v>464886</v>
      </c>
      <c r="F27" s="7">
        <v>464886</v>
      </c>
      <c r="G27" s="7">
        <f>+F27</f>
        <v>464886</v>
      </c>
      <c r="H27" s="7">
        <f t="shared" si="9"/>
        <v>0</v>
      </c>
      <c r="I27" s="29"/>
    </row>
    <row r="28" spans="1:9" s="3" customFormat="1" x14ac:dyDescent="0.25">
      <c r="A28" s="1" t="s">
        <v>284</v>
      </c>
      <c r="B28" s="3" t="s">
        <v>287</v>
      </c>
      <c r="C28" s="13">
        <f>+C29</f>
        <v>1000000</v>
      </c>
      <c r="D28" s="13">
        <f t="shared" ref="C28:H30" si="10">+D29</f>
        <v>-1000000</v>
      </c>
      <c r="E28" s="13">
        <f>+E29</f>
        <v>0</v>
      </c>
      <c r="F28" s="13">
        <f t="shared" si="10"/>
        <v>0</v>
      </c>
      <c r="G28" s="13">
        <f t="shared" si="10"/>
        <v>0</v>
      </c>
      <c r="H28" s="13">
        <f t="shared" si="10"/>
        <v>0</v>
      </c>
      <c r="I28" s="29"/>
    </row>
    <row r="29" spans="1:9" x14ac:dyDescent="0.25">
      <c r="A29" s="10" t="s">
        <v>285</v>
      </c>
      <c r="B29" s="2" t="s">
        <v>286</v>
      </c>
      <c r="C29" s="7">
        <v>1000000</v>
      </c>
      <c r="D29" s="7">
        <f>0-C29</f>
        <v>-1000000</v>
      </c>
      <c r="E29" s="7">
        <f>+C29+D29</f>
        <v>0</v>
      </c>
      <c r="F29" s="7">
        <v>0</v>
      </c>
      <c r="G29" s="7">
        <f>+F29</f>
        <v>0</v>
      </c>
      <c r="H29" s="7">
        <f>+E29-G29</f>
        <v>0</v>
      </c>
      <c r="I29" s="29"/>
    </row>
    <row r="30" spans="1:9" s="3" customFormat="1" x14ac:dyDescent="0.25">
      <c r="A30" s="1">
        <v>1.7</v>
      </c>
      <c r="B30" s="3" t="s">
        <v>16</v>
      </c>
      <c r="C30" s="13">
        <f t="shared" si="10"/>
        <v>275000</v>
      </c>
      <c r="D30" s="13">
        <f t="shared" si="10"/>
        <v>-200500</v>
      </c>
      <c r="E30" s="13">
        <f>+E31</f>
        <v>74500</v>
      </c>
      <c r="F30" s="13">
        <f t="shared" si="10"/>
        <v>74500</v>
      </c>
      <c r="G30" s="13">
        <f t="shared" si="10"/>
        <v>74500</v>
      </c>
      <c r="H30" s="13">
        <f t="shared" si="10"/>
        <v>0</v>
      </c>
      <c r="I30" s="29"/>
    </row>
    <row r="31" spans="1:9" x14ac:dyDescent="0.25">
      <c r="A31" s="10" t="s">
        <v>91</v>
      </c>
      <c r="B31" s="2" t="s">
        <v>92</v>
      </c>
      <c r="C31" s="7">
        <v>275000</v>
      </c>
      <c r="D31" s="7">
        <f>74500-C31</f>
        <v>-200500</v>
      </c>
      <c r="E31" s="7">
        <f>+C31+D31</f>
        <v>74500</v>
      </c>
      <c r="F31" s="7">
        <v>74500</v>
      </c>
      <c r="G31" s="7">
        <f>+F31</f>
        <v>74500</v>
      </c>
      <c r="H31" s="7">
        <f>+E31-G31</f>
        <v>0</v>
      </c>
      <c r="I31" s="29"/>
    </row>
    <row r="32" spans="1:9" s="3" customFormat="1" x14ac:dyDescent="0.25">
      <c r="A32" s="5">
        <v>2</v>
      </c>
      <c r="B32" s="4" t="s">
        <v>17</v>
      </c>
      <c r="C32" s="6">
        <f>+C33+C41+C45+C53+C55+C58+C64+C62</f>
        <v>20946872</v>
      </c>
      <c r="D32" s="6">
        <f t="shared" ref="D32:H32" si="11">+D33+D41+D45+D53+D55+D58+D64+D62</f>
        <v>4887598.13</v>
      </c>
      <c r="E32" s="6">
        <f t="shared" si="11"/>
        <v>25834470.129999999</v>
      </c>
      <c r="F32" s="6">
        <f>+F33+F41+F45+F53+F55+F58+F64+F62</f>
        <v>25388969.489999998</v>
      </c>
      <c r="G32" s="6">
        <f t="shared" si="11"/>
        <v>25388969.489999998</v>
      </c>
      <c r="H32" s="6">
        <f t="shared" si="11"/>
        <v>445500.63999999885</v>
      </c>
      <c r="I32" s="29"/>
    </row>
    <row r="33" spans="1:9" s="3" customFormat="1" x14ac:dyDescent="0.25">
      <c r="A33" s="22">
        <v>2.1</v>
      </c>
      <c r="B33" s="3" t="s">
        <v>64</v>
      </c>
      <c r="C33" s="13">
        <f>+C34+C35+C37+C38+C39+C40+C36</f>
        <v>3392872</v>
      </c>
      <c r="D33" s="13">
        <f t="shared" ref="D33:H33" si="12">+D34+D35+D37+D38+D39+D40+D36</f>
        <v>1233565.27</v>
      </c>
      <c r="E33" s="13">
        <f t="shared" si="12"/>
        <v>4626437.2700000005</v>
      </c>
      <c r="F33" s="13">
        <f t="shared" si="12"/>
        <v>4554793.2700000005</v>
      </c>
      <c r="G33" s="13">
        <f t="shared" si="12"/>
        <v>4554793.2700000005</v>
      </c>
      <c r="H33" s="13">
        <f t="shared" si="12"/>
        <v>71644</v>
      </c>
      <c r="I33" s="29"/>
    </row>
    <row r="34" spans="1:9" x14ac:dyDescent="0.25">
      <c r="A34" s="10" t="s">
        <v>93</v>
      </c>
      <c r="B34" s="2" t="s">
        <v>99</v>
      </c>
      <c r="C34" s="7">
        <v>1020000</v>
      </c>
      <c r="D34" s="7">
        <f>2430865.56-C34</f>
        <v>1410865.56</v>
      </c>
      <c r="E34" s="7">
        <f t="shared" ref="E34:E40" si="13">+C34+D34</f>
        <v>2430865.56</v>
      </c>
      <c r="F34" s="7">
        <v>2430865.56</v>
      </c>
      <c r="G34" s="7">
        <f t="shared" ref="G34:G69" si="14">+F34</f>
        <v>2430865.56</v>
      </c>
      <c r="H34" s="7">
        <f>+E34-G34</f>
        <v>0</v>
      </c>
      <c r="I34" s="29"/>
    </row>
    <row r="35" spans="1:9" x14ac:dyDescent="0.25">
      <c r="A35" s="10" t="s">
        <v>94</v>
      </c>
      <c r="B35" s="2" t="s">
        <v>100</v>
      </c>
      <c r="C35" s="7">
        <v>702872</v>
      </c>
      <c r="D35" s="7">
        <f>1270534-C35</f>
        <v>567662</v>
      </c>
      <c r="E35" s="7">
        <f t="shared" si="13"/>
        <v>1270534</v>
      </c>
      <c r="F35" s="7">
        <v>1198890</v>
      </c>
      <c r="G35" s="7">
        <f t="shared" si="14"/>
        <v>1198890</v>
      </c>
      <c r="H35" s="7">
        <f>+E35-G35</f>
        <v>71644</v>
      </c>
      <c r="I35" s="29"/>
    </row>
    <row r="36" spans="1:9" x14ac:dyDescent="0.25">
      <c r="A36" s="10" t="s">
        <v>288</v>
      </c>
      <c r="B36" s="2" t="s">
        <v>289</v>
      </c>
      <c r="C36" s="7">
        <v>100000</v>
      </c>
      <c r="D36" s="7">
        <f>0-C36</f>
        <v>-100000</v>
      </c>
      <c r="E36" s="7">
        <f t="shared" ref="E36" si="15">+C36+D36</f>
        <v>0</v>
      </c>
      <c r="F36" s="7">
        <v>0</v>
      </c>
      <c r="G36" s="7">
        <f t="shared" ref="G36" si="16">+F36</f>
        <v>0</v>
      </c>
      <c r="H36" s="7">
        <f t="shared" ref="H36:H40" si="17">+E36-G36</f>
        <v>0</v>
      </c>
      <c r="I36" s="29"/>
    </row>
    <row r="37" spans="1:9" x14ac:dyDescent="0.25">
      <c r="A37" s="10" t="s">
        <v>95</v>
      </c>
      <c r="B37" s="2" t="s">
        <v>101</v>
      </c>
      <c r="C37" s="7">
        <v>640000</v>
      </c>
      <c r="D37" s="7">
        <f>400626.56-C37</f>
        <v>-239373.44</v>
      </c>
      <c r="E37" s="7">
        <f t="shared" si="13"/>
        <v>400626.56</v>
      </c>
      <c r="F37" s="7">
        <v>400626.56</v>
      </c>
      <c r="G37" s="7">
        <f t="shared" si="14"/>
        <v>400626.56</v>
      </c>
      <c r="H37" s="7">
        <f t="shared" si="17"/>
        <v>0</v>
      </c>
      <c r="I37" s="29"/>
    </row>
    <row r="38" spans="1:9" x14ac:dyDescent="0.25">
      <c r="A38" s="10" t="s">
        <v>96</v>
      </c>
      <c r="B38" s="2" t="s">
        <v>102</v>
      </c>
      <c r="C38" s="7">
        <v>30000</v>
      </c>
      <c r="D38" s="7">
        <f>0-C38</f>
        <v>-30000</v>
      </c>
      <c r="E38" s="7">
        <f t="shared" si="13"/>
        <v>0</v>
      </c>
      <c r="F38" s="7">
        <v>0</v>
      </c>
      <c r="G38" s="7">
        <f t="shared" si="14"/>
        <v>0</v>
      </c>
      <c r="H38" s="7">
        <f t="shared" si="17"/>
        <v>0</v>
      </c>
      <c r="I38" s="29"/>
    </row>
    <row r="39" spans="1:9" x14ac:dyDescent="0.25">
      <c r="A39" s="10" t="s">
        <v>97</v>
      </c>
      <c r="B39" s="2" t="s">
        <v>103</v>
      </c>
      <c r="C39" s="7">
        <v>700000</v>
      </c>
      <c r="D39" s="7">
        <f>524411.15-C39</f>
        <v>-175588.84999999998</v>
      </c>
      <c r="E39" s="7">
        <f t="shared" si="13"/>
        <v>524411.15</v>
      </c>
      <c r="F39" s="7">
        <v>524411.15</v>
      </c>
      <c r="G39" s="7">
        <f t="shared" si="14"/>
        <v>524411.15</v>
      </c>
      <c r="H39" s="7">
        <f t="shared" si="17"/>
        <v>0</v>
      </c>
      <c r="I39" s="29"/>
    </row>
    <row r="40" spans="1:9" x14ac:dyDescent="0.25">
      <c r="A40" s="10" t="s">
        <v>98</v>
      </c>
      <c r="B40" s="2" t="s">
        <v>104</v>
      </c>
      <c r="C40" s="7">
        <v>200000</v>
      </c>
      <c r="D40" s="7">
        <f>0-C40</f>
        <v>-200000</v>
      </c>
      <c r="E40" s="7">
        <f t="shared" si="13"/>
        <v>0</v>
      </c>
      <c r="F40" s="7">
        <v>0</v>
      </c>
      <c r="G40" s="7">
        <f t="shared" si="14"/>
        <v>0</v>
      </c>
      <c r="H40" s="7">
        <f t="shared" si="17"/>
        <v>0</v>
      </c>
      <c r="I40" s="29"/>
    </row>
    <row r="41" spans="1:9" s="3" customFormat="1" x14ac:dyDescent="0.25">
      <c r="A41" s="1">
        <v>2.2000000000000002</v>
      </c>
      <c r="B41" s="3" t="s">
        <v>18</v>
      </c>
      <c r="C41" s="13">
        <f>+C42+C43+C44</f>
        <v>350000</v>
      </c>
      <c r="D41" s="13">
        <f t="shared" ref="D41:E41" si="18">+D42+D43+D44</f>
        <v>280121.98</v>
      </c>
      <c r="E41" s="13">
        <f t="shared" si="18"/>
        <v>630121.98</v>
      </c>
      <c r="F41" s="13">
        <f t="shared" ref="F41" si="19">+F42+F43+F44</f>
        <v>630121.98</v>
      </c>
      <c r="G41" s="13">
        <f t="shared" ref="G41:H41" si="20">+G42+G43+G44</f>
        <v>630121.98</v>
      </c>
      <c r="H41" s="13">
        <f t="shared" si="20"/>
        <v>0</v>
      </c>
      <c r="I41" s="29"/>
    </row>
    <row r="42" spans="1:9" x14ac:dyDescent="0.25">
      <c r="A42" s="10" t="s">
        <v>105</v>
      </c>
      <c r="B42" s="2" t="s">
        <v>106</v>
      </c>
      <c r="C42" s="7">
        <v>300000</v>
      </c>
      <c r="D42" s="7">
        <f>433710.89-C42</f>
        <v>133710.89000000001</v>
      </c>
      <c r="E42" s="7">
        <f t="shared" ref="E42:E43" si="21">+C42+D42</f>
        <v>433710.89</v>
      </c>
      <c r="F42" s="7">
        <v>433710.89</v>
      </c>
      <c r="G42" s="7">
        <f t="shared" si="14"/>
        <v>433710.89</v>
      </c>
      <c r="H42" s="7">
        <f t="shared" ref="H42" si="22">+E42-G42</f>
        <v>0</v>
      </c>
      <c r="I42" s="29"/>
    </row>
    <row r="43" spans="1:9" x14ac:dyDescent="0.25">
      <c r="A43" s="10" t="s">
        <v>290</v>
      </c>
      <c r="B43" s="2" t="s">
        <v>291</v>
      </c>
      <c r="C43" s="7">
        <v>50000</v>
      </c>
      <c r="D43" s="7">
        <f>0-C43</f>
        <v>-50000</v>
      </c>
      <c r="E43" s="7">
        <f t="shared" si="21"/>
        <v>0</v>
      </c>
      <c r="F43" s="7">
        <v>0</v>
      </c>
      <c r="G43" s="7">
        <f>+F43</f>
        <v>0</v>
      </c>
      <c r="H43" s="7">
        <f>+E43-G43</f>
        <v>0</v>
      </c>
      <c r="I43" s="29"/>
    </row>
    <row r="44" spans="1:9" x14ac:dyDescent="0.25">
      <c r="A44" s="10" t="s">
        <v>381</v>
      </c>
      <c r="B44" s="2" t="s">
        <v>382</v>
      </c>
      <c r="C44" s="7">
        <v>0</v>
      </c>
      <c r="D44" s="7">
        <v>196411.09</v>
      </c>
      <c r="E44" s="7">
        <f t="shared" ref="E44" si="23">+C44+D44</f>
        <v>196411.09</v>
      </c>
      <c r="F44" s="7">
        <v>196411.09</v>
      </c>
      <c r="G44" s="7">
        <f>+F44</f>
        <v>196411.09</v>
      </c>
      <c r="H44" s="7">
        <f>+E44-G44</f>
        <v>0</v>
      </c>
      <c r="I44" s="29"/>
    </row>
    <row r="45" spans="1:9" s="3" customFormat="1" x14ac:dyDescent="0.25">
      <c r="A45" s="1">
        <v>2.4</v>
      </c>
      <c r="B45" s="3" t="s">
        <v>41</v>
      </c>
      <c r="C45" s="13">
        <f>+C46+C49+C52+C47+C48+C50+C51</f>
        <v>7764000</v>
      </c>
      <c r="D45" s="13">
        <f t="shared" ref="D45:H45" si="24">+D46+D49+D52+D47+D48+D50+D51</f>
        <v>-1575175.0299999996</v>
      </c>
      <c r="E45" s="13">
        <f t="shared" si="24"/>
        <v>6188824.9700000007</v>
      </c>
      <c r="F45" s="13">
        <f t="shared" si="24"/>
        <v>6188824.9700000007</v>
      </c>
      <c r="G45" s="13">
        <f t="shared" si="24"/>
        <v>6188824.9700000007</v>
      </c>
      <c r="H45" s="13">
        <f t="shared" si="24"/>
        <v>0</v>
      </c>
      <c r="I45" s="29"/>
    </row>
    <row r="46" spans="1:9" x14ac:dyDescent="0.25">
      <c r="A46" s="10" t="s">
        <v>107</v>
      </c>
      <c r="B46" s="2" t="s">
        <v>110</v>
      </c>
      <c r="C46" s="7">
        <v>200000</v>
      </c>
      <c r="D46" s="7">
        <f>0-C46</f>
        <v>-200000</v>
      </c>
      <c r="E46" s="7">
        <f t="shared" ref="E46:E52" si="25">+C46+D46</f>
        <v>0</v>
      </c>
      <c r="F46" s="7">
        <v>0</v>
      </c>
      <c r="G46" s="7">
        <f t="shared" si="14"/>
        <v>0</v>
      </c>
      <c r="H46" s="7">
        <f t="shared" ref="H46:H52" si="26">+E46-G46</f>
        <v>0</v>
      </c>
      <c r="I46" s="29"/>
    </row>
    <row r="47" spans="1:9" x14ac:dyDescent="0.25">
      <c r="A47" s="10" t="s">
        <v>292</v>
      </c>
      <c r="B47" s="2" t="s">
        <v>293</v>
      </c>
      <c r="C47" s="7">
        <v>800000</v>
      </c>
      <c r="D47" s="7">
        <f>6200-C47</f>
        <v>-793800</v>
      </c>
      <c r="E47" s="7">
        <f t="shared" ref="E47:E48" si="27">+C47+D47</f>
        <v>6200</v>
      </c>
      <c r="F47" s="7">
        <v>6200</v>
      </c>
      <c r="G47" s="7">
        <f t="shared" ref="G47:G48" si="28">+F47</f>
        <v>6200</v>
      </c>
      <c r="H47" s="7">
        <f t="shared" si="26"/>
        <v>0</v>
      </c>
      <c r="I47" s="29"/>
    </row>
    <row r="48" spans="1:9" x14ac:dyDescent="0.25">
      <c r="A48" s="10" t="s">
        <v>294</v>
      </c>
      <c r="B48" s="2" t="s">
        <v>295</v>
      </c>
      <c r="C48" s="7">
        <v>300000</v>
      </c>
      <c r="D48" s="7">
        <f>0-C48</f>
        <v>-300000</v>
      </c>
      <c r="E48" s="7">
        <f t="shared" si="27"/>
        <v>0</v>
      </c>
      <c r="F48" s="7">
        <v>0</v>
      </c>
      <c r="G48" s="7">
        <f t="shared" si="28"/>
        <v>0</v>
      </c>
      <c r="H48" s="7">
        <f t="shared" si="26"/>
        <v>0</v>
      </c>
      <c r="I48" s="29"/>
    </row>
    <row r="49" spans="1:9" x14ac:dyDescent="0.25">
      <c r="A49" s="10" t="s">
        <v>108</v>
      </c>
      <c r="B49" s="2" t="s">
        <v>111</v>
      </c>
      <c r="C49" s="7">
        <v>4164000</v>
      </c>
      <c r="D49" s="7">
        <f>4925175.69-C49</f>
        <v>761175.69000000041</v>
      </c>
      <c r="E49" s="7">
        <f t="shared" si="25"/>
        <v>4925175.6900000004</v>
      </c>
      <c r="F49" s="7">
        <v>4925175.6900000004</v>
      </c>
      <c r="G49" s="7">
        <f t="shared" si="14"/>
        <v>4925175.6900000004</v>
      </c>
      <c r="H49" s="7">
        <f t="shared" si="26"/>
        <v>0</v>
      </c>
      <c r="I49" s="29"/>
    </row>
    <row r="50" spans="1:9" x14ac:dyDescent="0.25">
      <c r="A50" s="10" t="s">
        <v>296</v>
      </c>
      <c r="B50" s="2" t="s">
        <v>298</v>
      </c>
      <c r="C50" s="7">
        <v>300000</v>
      </c>
      <c r="D50" s="7">
        <f>0-C50</f>
        <v>-300000</v>
      </c>
      <c r="E50" s="7">
        <f t="shared" ref="E50:E51" si="29">+C50+D50</f>
        <v>0</v>
      </c>
      <c r="F50" s="7">
        <v>0</v>
      </c>
      <c r="G50" s="7">
        <f t="shared" ref="G50:G51" si="30">+F50</f>
        <v>0</v>
      </c>
      <c r="H50" s="7">
        <f t="shared" si="26"/>
        <v>0</v>
      </c>
      <c r="I50" s="29"/>
    </row>
    <row r="51" spans="1:9" x14ac:dyDescent="0.25">
      <c r="A51" s="10" t="s">
        <v>297</v>
      </c>
      <c r="B51" s="2" t="s">
        <v>299</v>
      </c>
      <c r="C51" s="7">
        <v>500000</v>
      </c>
      <c r="D51" s="7">
        <f>499195.02-C51</f>
        <v>-804.97999999998137</v>
      </c>
      <c r="E51" s="7">
        <f t="shared" si="29"/>
        <v>499195.02</v>
      </c>
      <c r="F51" s="7">
        <v>499195.02</v>
      </c>
      <c r="G51" s="7">
        <f t="shared" si="30"/>
        <v>499195.02</v>
      </c>
      <c r="H51" s="33">
        <f t="shared" si="26"/>
        <v>0</v>
      </c>
      <c r="I51" s="29"/>
    </row>
    <row r="52" spans="1:9" x14ac:dyDescent="0.25">
      <c r="A52" s="10" t="s">
        <v>109</v>
      </c>
      <c r="B52" s="2" t="s">
        <v>112</v>
      </c>
      <c r="C52" s="7">
        <v>1500000</v>
      </c>
      <c r="D52" s="7">
        <f>758254.26-C52</f>
        <v>-741745.74</v>
      </c>
      <c r="E52" s="7">
        <f t="shared" si="25"/>
        <v>758254.26</v>
      </c>
      <c r="F52" s="7">
        <v>758254.26</v>
      </c>
      <c r="G52" s="7">
        <f t="shared" si="14"/>
        <v>758254.26</v>
      </c>
      <c r="H52" s="33">
        <f t="shared" si="26"/>
        <v>0</v>
      </c>
      <c r="I52" s="29"/>
    </row>
    <row r="53" spans="1:9" s="3" customFormat="1" x14ac:dyDescent="0.25">
      <c r="A53" s="1">
        <v>2.5</v>
      </c>
      <c r="B53" s="3" t="s">
        <v>42</v>
      </c>
      <c r="C53" s="13">
        <f>+C54</f>
        <v>590000</v>
      </c>
      <c r="D53" s="13">
        <f>+D54</f>
        <v>-83197.330000000016</v>
      </c>
      <c r="E53" s="13">
        <f>+E54</f>
        <v>506802.67</v>
      </c>
      <c r="F53" s="13">
        <f t="shared" ref="F53:G53" si="31">+F54</f>
        <v>506802.67</v>
      </c>
      <c r="G53" s="13">
        <f t="shared" si="31"/>
        <v>506802.67</v>
      </c>
      <c r="H53" s="35">
        <f>+H54</f>
        <v>0</v>
      </c>
      <c r="I53" s="29"/>
    </row>
    <row r="54" spans="1:9" x14ac:dyDescent="0.25">
      <c r="A54" s="10" t="s">
        <v>113</v>
      </c>
      <c r="B54" s="2" t="s">
        <v>115</v>
      </c>
      <c r="C54" s="7">
        <v>590000</v>
      </c>
      <c r="D54" s="7">
        <f>506802.67-C54</f>
        <v>-83197.330000000016</v>
      </c>
      <c r="E54" s="7">
        <f>+C54+D54</f>
        <v>506802.67</v>
      </c>
      <c r="F54" s="7">
        <v>506802.67</v>
      </c>
      <c r="G54" s="7">
        <f t="shared" si="14"/>
        <v>506802.67</v>
      </c>
      <c r="H54" s="33">
        <f>+E54-G54</f>
        <v>0</v>
      </c>
      <c r="I54" s="29"/>
    </row>
    <row r="55" spans="1:9" s="3" customFormat="1" x14ac:dyDescent="0.25">
      <c r="A55" s="1">
        <v>2.6</v>
      </c>
      <c r="B55" s="3" t="s">
        <v>19</v>
      </c>
      <c r="C55" s="13">
        <f>+C56+C57</f>
        <v>6000000</v>
      </c>
      <c r="D55" s="13">
        <f t="shared" ref="D55:G55" si="32">+D56+D57</f>
        <v>5580434.4499999993</v>
      </c>
      <c r="E55" s="13">
        <f>+E56+E57</f>
        <v>11580434.449999999</v>
      </c>
      <c r="F55" s="13">
        <f t="shared" si="32"/>
        <v>11415689.65</v>
      </c>
      <c r="G55" s="13">
        <f t="shared" si="32"/>
        <v>11415689.65</v>
      </c>
      <c r="H55" s="35">
        <f>+H56+H57</f>
        <v>164744.79999999888</v>
      </c>
      <c r="I55" s="29"/>
    </row>
    <row r="56" spans="1:9" x14ac:dyDescent="0.25">
      <c r="A56" s="10" t="s">
        <v>117</v>
      </c>
      <c r="B56" s="2" t="s">
        <v>19</v>
      </c>
      <c r="C56" s="7">
        <v>6000000</v>
      </c>
      <c r="D56" s="7">
        <f>11580434.45-C56</f>
        <v>5580434.4499999993</v>
      </c>
      <c r="E56" s="7">
        <f>+C56+D56</f>
        <v>11580434.449999999</v>
      </c>
      <c r="F56" s="7">
        <v>11415689.65</v>
      </c>
      <c r="G56" s="7">
        <f t="shared" si="14"/>
        <v>11415689.65</v>
      </c>
      <c r="H56" s="33">
        <f t="shared" ref="H56:H57" si="33">+E56-G56</f>
        <v>164744.79999999888</v>
      </c>
      <c r="I56" s="29"/>
    </row>
    <row r="57" spans="1:9" x14ac:dyDescent="0.25">
      <c r="A57" s="10" t="s">
        <v>271</v>
      </c>
      <c r="B57" s="2" t="s">
        <v>272</v>
      </c>
      <c r="C57" s="7">
        <v>0</v>
      </c>
      <c r="D57" s="7">
        <v>0</v>
      </c>
      <c r="E57" s="7">
        <f>+C57+D57</f>
        <v>0</v>
      </c>
      <c r="F57" s="7">
        <v>0</v>
      </c>
      <c r="G57" s="7">
        <f t="shared" si="14"/>
        <v>0</v>
      </c>
      <c r="H57" s="33">
        <f t="shared" si="33"/>
        <v>0</v>
      </c>
      <c r="I57" s="29"/>
    </row>
    <row r="58" spans="1:9" s="3" customFormat="1" x14ac:dyDescent="0.25">
      <c r="A58" s="1">
        <v>2.7</v>
      </c>
      <c r="B58" s="3" t="s">
        <v>43</v>
      </c>
      <c r="C58" s="13">
        <f>+C59+C61+C60</f>
        <v>1500000</v>
      </c>
      <c r="D58" s="13">
        <f t="shared" ref="D58:H58" si="34">+D59+D61+D60</f>
        <v>-56124.620000000024</v>
      </c>
      <c r="E58" s="13">
        <f t="shared" si="34"/>
        <v>1443875.38</v>
      </c>
      <c r="F58" s="13">
        <f t="shared" si="34"/>
        <v>1234763.54</v>
      </c>
      <c r="G58" s="13">
        <f t="shared" si="34"/>
        <v>1234763.54</v>
      </c>
      <c r="H58" s="35">
        <f t="shared" si="34"/>
        <v>209111.83999999997</v>
      </c>
      <c r="I58" s="29"/>
    </row>
    <row r="59" spans="1:9" x14ac:dyDescent="0.25">
      <c r="A59" s="10" t="s">
        <v>118</v>
      </c>
      <c r="B59" s="2" t="s">
        <v>121</v>
      </c>
      <c r="C59" s="7">
        <v>900000</v>
      </c>
      <c r="D59" s="7">
        <f>1221111.7-C59</f>
        <v>321111.69999999995</v>
      </c>
      <c r="E59" s="7">
        <f t="shared" ref="E59:E61" si="35">+C59+D59</f>
        <v>1221111.7</v>
      </c>
      <c r="F59" s="7">
        <v>1011999.86</v>
      </c>
      <c r="G59" s="7">
        <v>1011999.86</v>
      </c>
      <c r="H59" s="7">
        <f t="shared" ref="H59:H61" si="36">+E59-G59</f>
        <v>209111.83999999997</v>
      </c>
      <c r="I59" s="29"/>
    </row>
    <row r="60" spans="1:9" x14ac:dyDescent="0.25">
      <c r="A60" s="10" t="s">
        <v>119</v>
      </c>
      <c r="B60" s="2" t="s">
        <v>300</v>
      </c>
      <c r="C60" s="7">
        <v>200000</v>
      </c>
      <c r="D60" s="7">
        <f>21199.76-C60</f>
        <v>-178800.24</v>
      </c>
      <c r="E60" s="7">
        <f t="shared" ref="E60" si="37">+C60+D60</f>
        <v>21199.760000000009</v>
      </c>
      <c r="F60" s="7">
        <v>21199.759999999998</v>
      </c>
      <c r="G60" s="7">
        <f t="shared" ref="G60" si="38">+F60</f>
        <v>21199.759999999998</v>
      </c>
      <c r="H60" s="7">
        <f t="shared" si="36"/>
        <v>0</v>
      </c>
      <c r="I60" s="29"/>
    </row>
    <row r="61" spans="1:9" x14ac:dyDescent="0.25">
      <c r="A61" s="10" t="s">
        <v>120</v>
      </c>
      <c r="B61" s="2" t="s">
        <v>123</v>
      </c>
      <c r="C61" s="7">
        <v>400000</v>
      </c>
      <c r="D61" s="7">
        <f>201563.92-C61</f>
        <v>-198436.08</v>
      </c>
      <c r="E61" s="7">
        <f t="shared" si="35"/>
        <v>201563.92</v>
      </c>
      <c r="F61" s="7">
        <v>201563.92</v>
      </c>
      <c r="G61" s="7">
        <f t="shared" si="14"/>
        <v>201563.92</v>
      </c>
      <c r="H61" s="7">
        <f t="shared" si="36"/>
        <v>0</v>
      </c>
      <c r="I61" s="29"/>
    </row>
    <row r="62" spans="1:9" s="3" customFormat="1" x14ac:dyDescent="0.25">
      <c r="A62" s="1" t="s">
        <v>301</v>
      </c>
      <c r="B62" s="3" t="s">
        <v>20</v>
      </c>
      <c r="C62" s="13">
        <f>+C63</f>
        <v>150000</v>
      </c>
      <c r="D62" s="13">
        <f t="shared" ref="D62:H62" si="39">+D63</f>
        <v>-150000</v>
      </c>
      <c r="E62" s="13">
        <f t="shared" si="39"/>
        <v>0</v>
      </c>
      <c r="F62" s="13">
        <f t="shared" si="39"/>
        <v>0</v>
      </c>
      <c r="G62" s="13">
        <f t="shared" si="39"/>
        <v>0</v>
      </c>
      <c r="H62" s="13">
        <f t="shared" si="39"/>
        <v>0</v>
      </c>
      <c r="I62" s="29"/>
    </row>
    <row r="63" spans="1:9" x14ac:dyDescent="0.25">
      <c r="A63" s="10" t="s">
        <v>125</v>
      </c>
      <c r="B63" s="2" t="s">
        <v>302</v>
      </c>
      <c r="C63" s="7">
        <v>150000</v>
      </c>
      <c r="D63" s="7">
        <f>0-C63</f>
        <v>-150000</v>
      </c>
      <c r="E63" s="7">
        <f t="shared" ref="E63" si="40">+C63+D63</f>
        <v>0</v>
      </c>
      <c r="F63" s="7">
        <v>0</v>
      </c>
      <c r="G63" s="7">
        <f t="shared" ref="G63" si="41">+F63</f>
        <v>0</v>
      </c>
      <c r="H63" s="7">
        <f>+E63-G63</f>
        <v>0</v>
      </c>
      <c r="I63" s="29"/>
    </row>
    <row r="64" spans="1:9" s="3" customFormat="1" x14ac:dyDescent="0.25">
      <c r="A64" s="1">
        <v>2.9</v>
      </c>
      <c r="B64" s="3" t="s">
        <v>44</v>
      </c>
      <c r="C64" s="13">
        <f>+C65+C66+C67+C68+C69+C70</f>
        <v>1200000</v>
      </c>
      <c r="D64" s="13">
        <f t="shared" ref="D64:H64" si="42">+D65+D66+D67+D68+D69+D70</f>
        <v>-342026.59000000008</v>
      </c>
      <c r="E64" s="13">
        <f t="shared" si="42"/>
        <v>857973.40999999992</v>
      </c>
      <c r="F64" s="13">
        <f t="shared" si="42"/>
        <v>857973.40999999992</v>
      </c>
      <c r="G64" s="13">
        <f t="shared" si="42"/>
        <v>857973.40999999992</v>
      </c>
      <c r="H64" s="13">
        <f t="shared" si="42"/>
        <v>-3.4674485505092889E-12</v>
      </c>
      <c r="I64" s="29"/>
    </row>
    <row r="65" spans="1:9" x14ac:dyDescent="0.25">
      <c r="A65" s="10" t="s">
        <v>128</v>
      </c>
      <c r="B65" s="2" t="s">
        <v>133</v>
      </c>
      <c r="C65" s="7">
        <v>200000</v>
      </c>
      <c r="D65" s="7">
        <f>797042.21-C65</f>
        <v>597042.21</v>
      </c>
      <c r="E65" s="7">
        <f t="shared" ref="E65:E69" si="43">+C65+D65</f>
        <v>797042.21</v>
      </c>
      <c r="F65" s="7">
        <v>797042.21</v>
      </c>
      <c r="G65" s="7">
        <f t="shared" si="14"/>
        <v>797042.21</v>
      </c>
      <c r="H65" s="7">
        <f t="shared" ref="H65:H70" si="44">+E65-G65</f>
        <v>0</v>
      </c>
      <c r="I65" s="29"/>
    </row>
    <row r="66" spans="1:9" x14ac:dyDescent="0.25">
      <c r="A66" s="10" t="s">
        <v>129</v>
      </c>
      <c r="B66" s="2" t="s">
        <v>134</v>
      </c>
      <c r="C66" s="7">
        <v>150000</v>
      </c>
      <c r="D66" s="7">
        <f>322.59-C66</f>
        <v>-149677.41</v>
      </c>
      <c r="E66" s="7">
        <f>+C66+D66</f>
        <v>322.58999999999651</v>
      </c>
      <c r="F66" s="7">
        <v>322.58999999999997</v>
      </c>
      <c r="G66" s="7">
        <f t="shared" si="14"/>
        <v>322.58999999999997</v>
      </c>
      <c r="H66" s="7">
        <f t="shared" si="44"/>
        <v>-3.4674485505092889E-12</v>
      </c>
      <c r="I66" s="29"/>
    </row>
    <row r="67" spans="1:9" x14ac:dyDescent="0.25">
      <c r="A67" s="10" t="s">
        <v>130</v>
      </c>
      <c r="B67" s="2" t="s">
        <v>135</v>
      </c>
      <c r="C67" s="7">
        <v>50000</v>
      </c>
      <c r="D67" s="7">
        <f>0-C67</f>
        <v>-50000</v>
      </c>
      <c r="E67" s="7">
        <f t="shared" si="43"/>
        <v>0</v>
      </c>
      <c r="F67" s="7">
        <v>0</v>
      </c>
      <c r="G67" s="7">
        <f t="shared" si="14"/>
        <v>0</v>
      </c>
      <c r="H67" s="7">
        <f t="shared" si="44"/>
        <v>0</v>
      </c>
      <c r="I67" s="29"/>
    </row>
    <row r="68" spans="1:9" x14ac:dyDescent="0.25">
      <c r="A68" s="10" t="s">
        <v>131</v>
      </c>
      <c r="B68" s="2" t="s">
        <v>136</v>
      </c>
      <c r="C68" s="7">
        <v>100000</v>
      </c>
      <c r="D68" s="7">
        <f>0-C68</f>
        <v>-100000</v>
      </c>
      <c r="E68" s="7">
        <f t="shared" si="43"/>
        <v>0</v>
      </c>
      <c r="F68" s="7">
        <v>0</v>
      </c>
      <c r="G68" s="7">
        <f t="shared" si="14"/>
        <v>0</v>
      </c>
      <c r="H68" s="7">
        <f t="shared" si="44"/>
        <v>0</v>
      </c>
      <c r="I68" s="29"/>
    </row>
    <row r="69" spans="1:9" x14ac:dyDescent="0.25">
      <c r="A69" s="10" t="s">
        <v>132</v>
      </c>
      <c r="B69" s="2" t="s">
        <v>137</v>
      </c>
      <c r="C69" s="7">
        <v>300000</v>
      </c>
      <c r="D69" s="7">
        <f>36228.61-C69</f>
        <v>-263771.39</v>
      </c>
      <c r="E69" s="7">
        <f t="shared" si="43"/>
        <v>36228.609999999986</v>
      </c>
      <c r="F69" s="7">
        <v>36228.61</v>
      </c>
      <c r="G69" s="7">
        <f t="shared" si="14"/>
        <v>36228.61</v>
      </c>
      <c r="H69" s="7">
        <f t="shared" si="44"/>
        <v>0</v>
      </c>
      <c r="I69" s="29"/>
    </row>
    <row r="70" spans="1:9" x14ac:dyDescent="0.25">
      <c r="A70" s="10" t="s">
        <v>303</v>
      </c>
      <c r="B70" s="2" t="s">
        <v>304</v>
      </c>
      <c r="C70" s="7">
        <v>400000</v>
      </c>
      <c r="D70" s="7">
        <f>24380-C70</f>
        <v>-375620</v>
      </c>
      <c r="E70" s="7">
        <f t="shared" ref="E70" si="45">+C70+D70</f>
        <v>24380</v>
      </c>
      <c r="F70" s="7">
        <v>24380</v>
      </c>
      <c r="G70" s="7">
        <f t="shared" ref="G70" si="46">+F70</f>
        <v>24380</v>
      </c>
      <c r="H70" s="7">
        <f t="shared" si="44"/>
        <v>0</v>
      </c>
      <c r="I70" s="29"/>
    </row>
    <row r="71" spans="1:9" s="3" customFormat="1" x14ac:dyDescent="0.25">
      <c r="A71" s="5">
        <v>3</v>
      </c>
      <c r="B71" s="4" t="s">
        <v>21</v>
      </c>
      <c r="C71" s="6">
        <f t="shared" ref="C71:H71" si="47">+C72+C76+C82+C90+C95+C104+C106+C111+C115</f>
        <v>33660744</v>
      </c>
      <c r="D71" s="6">
        <f t="shared" si="47"/>
        <v>27974350.73</v>
      </c>
      <c r="E71" s="6">
        <f t="shared" si="47"/>
        <v>61635094.730000004</v>
      </c>
      <c r="F71" s="6">
        <f>+F72+F76+F82+F90+F95+F104+F106+F111+F115</f>
        <v>59689732</v>
      </c>
      <c r="G71" s="6">
        <f t="shared" si="47"/>
        <v>59689732</v>
      </c>
      <c r="H71" s="6">
        <f t="shared" si="47"/>
        <v>1945362.73</v>
      </c>
      <c r="I71" s="29"/>
    </row>
    <row r="72" spans="1:9" s="3" customFormat="1" x14ac:dyDescent="0.25">
      <c r="A72" s="1">
        <v>3.1</v>
      </c>
      <c r="B72" s="3" t="s">
        <v>22</v>
      </c>
      <c r="C72" s="13">
        <f>+C73+C74+C75</f>
        <v>1902000</v>
      </c>
      <c r="D72" s="13">
        <f t="shared" ref="D72:H72" si="48">+D73+D74+D75</f>
        <v>7600008.7599999998</v>
      </c>
      <c r="E72" s="13">
        <f t="shared" si="48"/>
        <v>9502008.7599999979</v>
      </c>
      <c r="F72" s="13">
        <f t="shared" si="48"/>
        <v>9502008.7599999979</v>
      </c>
      <c r="G72" s="13">
        <f t="shared" si="48"/>
        <v>9502008.7599999979</v>
      </c>
      <c r="H72" s="13">
        <f t="shared" si="48"/>
        <v>0</v>
      </c>
      <c r="I72" s="29"/>
    </row>
    <row r="73" spans="1:9" x14ac:dyDescent="0.25">
      <c r="A73" s="10" t="s">
        <v>138</v>
      </c>
      <c r="B73" s="2" t="s">
        <v>141</v>
      </c>
      <c r="C73" s="7">
        <v>1000000</v>
      </c>
      <c r="D73" s="7">
        <f>8953027.78-C73</f>
        <v>7953027.7799999993</v>
      </c>
      <c r="E73" s="7">
        <f t="shared" ref="E73:E74" si="49">+C73+D73</f>
        <v>8953027.7799999993</v>
      </c>
      <c r="F73" s="7">
        <v>8953027.7799999993</v>
      </c>
      <c r="G73" s="7">
        <f t="shared" ref="G73:G141" si="50">+F73</f>
        <v>8953027.7799999993</v>
      </c>
      <c r="H73" s="7">
        <f t="shared" ref="H73:H74" si="51">+E73-G73</f>
        <v>0</v>
      </c>
      <c r="I73" s="29"/>
    </row>
    <row r="74" spans="1:9" x14ac:dyDescent="0.25">
      <c r="A74" s="10" t="s">
        <v>139</v>
      </c>
      <c r="B74" s="2" t="s">
        <v>142</v>
      </c>
      <c r="C74" s="7">
        <v>900000</v>
      </c>
      <c r="D74" s="7">
        <f>548379.2-C74</f>
        <v>-351620.80000000005</v>
      </c>
      <c r="E74" s="7">
        <f t="shared" si="49"/>
        <v>548379.19999999995</v>
      </c>
      <c r="F74" s="7">
        <v>548379.19999999995</v>
      </c>
      <c r="G74" s="7">
        <f t="shared" si="50"/>
        <v>548379.19999999995</v>
      </c>
      <c r="H74" s="7">
        <f t="shared" si="51"/>
        <v>0</v>
      </c>
      <c r="I74" s="29"/>
    </row>
    <row r="75" spans="1:9" x14ac:dyDescent="0.25">
      <c r="A75" s="10" t="s">
        <v>305</v>
      </c>
      <c r="B75" s="2" t="s">
        <v>306</v>
      </c>
      <c r="C75" s="7">
        <v>2000</v>
      </c>
      <c r="D75" s="7">
        <f>601.78-C75</f>
        <v>-1398.22</v>
      </c>
      <c r="E75" s="7">
        <f t="shared" ref="E75" si="52">+C75+D75</f>
        <v>601.78</v>
      </c>
      <c r="F75" s="7">
        <v>601.78</v>
      </c>
      <c r="G75" s="7">
        <f t="shared" ref="G75" si="53">+F75</f>
        <v>601.78</v>
      </c>
      <c r="H75" s="7">
        <f>+E75-G75</f>
        <v>0</v>
      </c>
      <c r="I75" s="29"/>
    </row>
    <row r="76" spans="1:9" s="3" customFormat="1" x14ac:dyDescent="0.25">
      <c r="A76" s="1">
        <v>3.2</v>
      </c>
      <c r="B76" s="3" t="s">
        <v>23</v>
      </c>
      <c r="C76" s="13">
        <f>+C77+C78+C80+C81+C79</f>
        <v>1800000</v>
      </c>
      <c r="D76" s="13">
        <f t="shared" ref="D76:H76" si="54">+D77+D78+D80+D81+D79</f>
        <v>1554244.52</v>
      </c>
      <c r="E76" s="13">
        <f t="shared" si="54"/>
        <v>3354244.52</v>
      </c>
      <c r="F76" s="13">
        <f t="shared" si="54"/>
        <v>3350744.52</v>
      </c>
      <c r="G76" s="13">
        <f t="shared" si="54"/>
        <v>3350744.52</v>
      </c>
      <c r="H76" s="13">
        <f t="shared" si="54"/>
        <v>3500</v>
      </c>
      <c r="I76" s="29"/>
    </row>
    <row r="77" spans="1:9" x14ac:dyDescent="0.25">
      <c r="A77" s="10" t="s">
        <v>144</v>
      </c>
      <c r="B77" s="2" t="s">
        <v>148</v>
      </c>
      <c r="C77" s="7">
        <v>500000</v>
      </c>
      <c r="D77" s="7">
        <f>364843.24-C77</f>
        <v>-135156.76</v>
      </c>
      <c r="E77" s="7">
        <f t="shared" ref="E77:E81" si="55">+C77+D77</f>
        <v>364843.24</v>
      </c>
      <c r="F77" s="7">
        <v>361343.24</v>
      </c>
      <c r="G77" s="7">
        <v>361343.24</v>
      </c>
      <c r="H77" s="7">
        <f t="shared" ref="H77:H81" si="56">+E77-G77</f>
        <v>3500</v>
      </c>
      <c r="I77" s="29"/>
    </row>
    <row r="78" spans="1:9" x14ac:dyDescent="0.25">
      <c r="A78" s="10" t="s">
        <v>145</v>
      </c>
      <c r="B78" s="2" t="s">
        <v>149</v>
      </c>
      <c r="C78" s="7">
        <v>550000</v>
      </c>
      <c r="D78" s="7">
        <f>1338725.91-C78</f>
        <v>788725.90999999992</v>
      </c>
      <c r="E78" s="7">
        <f t="shared" si="55"/>
        <v>1338725.9099999999</v>
      </c>
      <c r="F78" s="7">
        <v>1338725.9099999999</v>
      </c>
      <c r="G78" s="7">
        <f t="shared" ref="G78:G81" si="57">+F78</f>
        <v>1338725.9099999999</v>
      </c>
      <c r="H78" s="7">
        <f t="shared" si="56"/>
        <v>0</v>
      </c>
      <c r="I78" s="29"/>
    </row>
    <row r="79" spans="1:9" x14ac:dyDescent="0.25">
      <c r="A79" s="10" t="s">
        <v>383</v>
      </c>
      <c r="B79" s="2" t="s">
        <v>384</v>
      </c>
      <c r="C79" s="7">
        <v>0</v>
      </c>
      <c r="D79" s="7">
        <v>55680</v>
      </c>
      <c r="E79" s="7">
        <f t="shared" ref="E79" si="58">+C79+D79</f>
        <v>55680</v>
      </c>
      <c r="F79" s="7">
        <v>55680</v>
      </c>
      <c r="G79" s="7">
        <f t="shared" ref="G79" si="59">+F79</f>
        <v>55680</v>
      </c>
      <c r="H79" s="7">
        <f t="shared" si="56"/>
        <v>0</v>
      </c>
      <c r="I79" s="29"/>
    </row>
    <row r="80" spans="1:9" x14ac:dyDescent="0.25">
      <c r="A80" s="10" t="s">
        <v>146</v>
      </c>
      <c r="B80" s="2" t="s">
        <v>150</v>
      </c>
      <c r="C80" s="7">
        <v>450000</v>
      </c>
      <c r="D80" s="7">
        <f>629262-C80</f>
        <v>179262</v>
      </c>
      <c r="E80" s="7">
        <f t="shared" si="55"/>
        <v>629262</v>
      </c>
      <c r="F80" s="7">
        <v>629262</v>
      </c>
      <c r="G80" s="7">
        <f t="shared" si="57"/>
        <v>629262</v>
      </c>
      <c r="H80" s="7">
        <f t="shared" si="56"/>
        <v>0</v>
      </c>
      <c r="I80" s="29"/>
    </row>
    <row r="81" spans="1:9" x14ac:dyDescent="0.25">
      <c r="A81" s="10" t="s">
        <v>147</v>
      </c>
      <c r="B81" s="2" t="s">
        <v>151</v>
      </c>
      <c r="C81" s="7">
        <v>300000</v>
      </c>
      <c r="D81" s="7">
        <f>965733.37-C81</f>
        <v>665733.37</v>
      </c>
      <c r="E81" s="7">
        <f t="shared" si="55"/>
        <v>965733.37</v>
      </c>
      <c r="F81" s="7">
        <v>965733.37</v>
      </c>
      <c r="G81" s="7">
        <f t="shared" si="57"/>
        <v>965733.37</v>
      </c>
      <c r="H81" s="7">
        <f t="shared" si="56"/>
        <v>0</v>
      </c>
      <c r="I81" s="29"/>
    </row>
    <row r="82" spans="1:9" s="3" customFormat="1" x14ac:dyDescent="0.25">
      <c r="A82" s="1">
        <v>3.3</v>
      </c>
      <c r="B82" s="3" t="s">
        <v>45</v>
      </c>
      <c r="C82" s="13">
        <f>+C83+C84+C85+C86+C88+C89+C87</f>
        <v>7208744</v>
      </c>
      <c r="D82" s="13">
        <f t="shared" ref="D82:H82" si="60">+D83+D84+D85+D86+D88+D89+D87</f>
        <v>8114992.3099999996</v>
      </c>
      <c r="E82" s="13">
        <f t="shared" si="60"/>
        <v>15323736.309999999</v>
      </c>
      <c r="F82" s="13">
        <f t="shared" si="60"/>
        <v>15323736.309999999</v>
      </c>
      <c r="G82" s="13">
        <f t="shared" si="60"/>
        <v>15323736.309999999</v>
      </c>
      <c r="H82" s="13">
        <f t="shared" si="60"/>
        <v>0</v>
      </c>
      <c r="I82" s="29"/>
    </row>
    <row r="83" spans="1:9" x14ac:dyDescent="0.25">
      <c r="A83" s="10" t="s">
        <v>152</v>
      </c>
      <c r="B83" s="2" t="s">
        <v>159</v>
      </c>
      <c r="C83" s="7">
        <v>200000</v>
      </c>
      <c r="D83" s="7">
        <f>60320-C83</f>
        <v>-139680</v>
      </c>
      <c r="E83" s="7">
        <f t="shared" ref="E83:E89" si="61">+C83+D83</f>
        <v>60320</v>
      </c>
      <c r="F83" s="7">
        <v>60320</v>
      </c>
      <c r="G83" s="7">
        <f t="shared" ref="G83:G89" si="62">+F83</f>
        <v>60320</v>
      </c>
      <c r="H83" s="7">
        <f t="shared" ref="H83:H89" si="63">+E83-G83</f>
        <v>0</v>
      </c>
      <c r="I83" s="29"/>
    </row>
    <row r="84" spans="1:9" x14ac:dyDescent="0.25">
      <c r="A84" s="10" t="s">
        <v>153</v>
      </c>
      <c r="B84" s="2" t="s">
        <v>160</v>
      </c>
      <c r="C84" s="7">
        <v>1000000</v>
      </c>
      <c r="D84" s="7">
        <f>305646-C84</f>
        <v>-694354</v>
      </c>
      <c r="E84" s="7">
        <f>+C84+D84</f>
        <v>305646</v>
      </c>
      <c r="F84" s="7">
        <v>305646</v>
      </c>
      <c r="G84" s="7">
        <f t="shared" si="62"/>
        <v>305646</v>
      </c>
      <c r="H84" s="7">
        <f t="shared" si="63"/>
        <v>0</v>
      </c>
      <c r="I84" s="29"/>
    </row>
    <row r="85" spans="1:9" x14ac:dyDescent="0.25">
      <c r="A85" s="10" t="s">
        <v>154</v>
      </c>
      <c r="B85" s="2" t="s">
        <v>161</v>
      </c>
      <c r="C85" s="7">
        <v>5398744</v>
      </c>
      <c r="D85" s="7">
        <f>11855913.35-C85</f>
        <v>6457169.3499999996</v>
      </c>
      <c r="E85" s="7">
        <f>+C85+D85</f>
        <v>11855913.35</v>
      </c>
      <c r="F85" s="7">
        <v>11855913.35</v>
      </c>
      <c r="G85" s="7">
        <f t="shared" si="62"/>
        <v>11855913.35</v>
      </c>
      <c r="H85" s="7">
        <f t="shared" si="63"/>
        <v>0</v>
      </c>
      <c r="I85" s="29"/>
    </row>
    <row r="86" spans="1:9" x14ac:dyDescent="0.25">
      <c r="A86" s="10" t="s">
        <v>155</v>
      </c>
      <c r="B86" s="2" t="s">
        <v>162</v>
      </c>
      <c r="C86" s="7">
        <v>300000</v>
      </c>
      <c r="D86" s="7">
        <f>555635.62-C86</f>
        <v>255635.62</v>
      </c>
      <c r="E86" s="7">
        <f t="shared" si="61"/>
        <v>555635.62</v>
      </c>
      <c r="F86" s="7">
        <v>555635.62</v>
      </c>
      <c r="G86" s="7">
        <f t="shared" si="62"/>
        <v>555635.62</v>
      </c>
      <c r="H86" s="7">
        <f t="shared" si="63"/>
        <v>0</v>
      </c>
      <c r="I86" s="29"/>
    </row>
    <row r="87" spans="1:9" x14ac:dyDescent="0.25">
      <c r="A87" s="10" t="s">
        <v>385</v>
      </c>
      <c r="B87" s="2" t="s">
        <v>386</v>
      </c>
      <c r="C87" s="7">
        <v>0</v>
      </c>
      <c r="D87" s="7">
        <f>500000-C87</f>
        <v>500000</v>
      </c>
      <c r="E87" s="7">
        <f t="shared" ref="E87" si="64">+C87+D87</f>
        <v>500000</v>
      </c>
      <c r="F87" s="7">
        <v>500000</v>
      </c>
      <c r="G87" s="7">
        <f t="shared" ref="G87" si="65">+F87</f>
        <v>500000</v>
      </c>
      <c r="H87" s="7">
        <f t="shared" si="63"/>
        <v>0</v>
      </c>
      <c r="I87" s="29"/>
    </row>
    <row r="88" spans="1:9" x14ac:dyDescent="0.25">
      <c r="A88" s="10" t="s">
        <v>156</v>
      </c>
      <c r="B88" s="2" t="s">
        <v>163</v>
      </c>
      <c r="C88" s="7">
        <v>210000</v>
      </c>
      <c r="D88" s="7">
        <f>47400-C88</f>
        <v>-162600</v>
      </c>
      <c r="E88" s="7">
        <f t="shared" si="61"/>
        <v>47400</v>
      </c>
      <c r="F88" s="7">
        <v>47400</v>
      </c>
      <c r="G88" s="7">
        <f t="shared" si="62"/>
        <v>47400</v>
      </c>
      <c r="H88" s="7">
        <f t="shared" si="63"/>
        <v>0</v>
      </c>
      <c r="I88" s="29"/>
    </row>
    <row r="89" spans="1:9" x14ac:dyDescent="0.25">
      <c r="A89" s="10" t="s">
        <v>158</v>
      </c>
      <c r="B89" s="2" t="s">
        <v>165</v>
      </c>
      <c r="C89" s="7">
        <v>100000</v>
      </c>
      <c r="D89" s="7">
        <f>1998821.34-C89</f>
        <v>1898821.34</v>
      </c>
      <c r="E89" s="7">
        <f t="shared" si="61"/>
        <v>1998821.34</v>
      </c>
      <c r="F89" s="7">
        <v>1998821.34</v>
      </c>
      <c r="G89" s="7">
        <f t="shared" si="62"/>
        <v>1998821.34</v>
      </c>
      <c r="H89" s="7">
        <f t="shared" si="63"/>
        <v>0</v>
      </c>
      <c r="I89" s="29"/>
    </row>
    <row r="90" spans="1:9" s="3" customFormat="1" x14ac:dyDescent="0.25">
      <c r="A90" s="1">
        <v>3.4</v>
      </c>
      <c r="B90" s="3" t="s">
        <v>46</v>
      </c>
      <c r="C90" s="13">
        <f>+C91+C93+C92+C94</f>
        <v>1310000</v>
      </c>
      <c r="D90" s="13">
        <f t="shared" ref="D90:H90" si="66">+D91+D93+D92+D94</f>
        <v>1250809.78</v>
      </c>
      <c r="E90" s="13">
        <f t="shared" si="66"/>
        <v>2560809.7800000003</v>
      </c>
      <c r="F90" s="13">
        <f t="shared" si="66"/>
        <v>2560809.7800000003</v>
      </c>
      <c r="G90" s="13">
        <f t="shared" si="66"/>
        <v>2560809.7800000003</v>
      </c>
      <c r="H90" s="13">
        <f t="shared" si="66"/>
        <v>0</v>
      </c>
      <c r="I90" s="29"/>
    </row>
    <row r="91" spans="1:9" x14ac:dyDescent="0.25">
      <c r="A91" s="10" t="s">
        <v>166</v>
      </c>
      <c r="B91" s="2" t="s">
        <v>168</v>
      </c>
      <c r="C91" s="7">
        <v>10000</v>
      </c>
      <c r="D91" s="7">
        <f>262224.68-C91</f>
        <v>252224.68</v>
      </c>
      <c r="E91" s="7">
        <f>+C91+D91</f>
        <v>262224.68</v>
      </c>
      <c r="F91" s="7">
        <v>262224.68</v>
      </c>
      <c r="G91" s="7">
        <f t="shared" si="50"/>
        <v>262224.68</v>
      </c>
      <c r="H91" s="7">
        <f t="shared" ref="H91:H94" si="67">+E91-G91</f>
        <v>0</v>
      </c>
      <c r="I91" s="29"/>
    </row>
    <row r="92" spans="1:9" x14ac:dyDescent="0.25">
      <c r="A92" s="10" t="s">
        <v>307</v>
      </c>
      <c r="B92" s="2" t="s">
        <v>308</v>
      </c>
      <c r="C92" s="7">
        <v>1300000</v>
      </c>
      <c r="D92" s="7">
        <f>2257985.1-C92</f>
        <v>957985.10000000009</v>
      </c>
      <c r="E92" s="7">
        <f t="shared" ref="E92" si="68">+C92+D92</f>
        <v>2257985.1</v>
      </c>
      <c r="F92" s="7">
        <v>2257985.1</v>
      </c>
      <c r="G92" s="7">
        <f t="shared" ref="G92" si="69">+F92</f>
        <v>2257985.1</v>
      </c>
      <c r="H92" s="7">
        <f t="shared" si="67"/>
        <v>0</v>
      </c>
      <c r="I92" s="29"/>
    </row>
    <row r="93" spans="1:9" x14ac:dyDescent="0.25">
      <c r="A93" s="10" t="s">
        <v>167</v>
      </c>
      <c r="B93" s="2" t="s">
        <v>169</v>
      </c>
      <c r="C93" s="7">
        <v>0</v>
      </c>
      <c r="D93" s="7">
        <v>0</v>
      </c>
      <c r="E93" s="7">
        <f t="shared" ref="E93" si="70">+C93+D93</f>
        <v>0</v>
      </c>
      <c r="F93" s="7">
        <v>0</v>
      </c>
      <c r="G93" s="7">
        <f t="shared" si="50"/>
        <v>0</v>
      </c>
      <c r="H93" s="7">
        <f t="shared" si="67"/>
        <v>0</v>
      </c>
      <c r="I93" s="29"/>
    </row>
    <row r="94" spans="1:9" x14ac:dyDescent="0.25">
      <c r="A94" s="10" t="s">
        <v>412</v>
      </c>
      <c r="B94" s="2" t="s">
        <v>413</v>
      </c>
      <c r="C94" s="7">
        <v>0</v>
      </c>
      <c r="D94" s="7">
        <v>40600</v>
      </c>
      <c r="E94" s="7">
        <f t="shared" ref="E94" si="71">+C94+D94</f>
        <v>40600</v>
      </c>
      <c r="F94" s="7">
        <v>40600</v>
      </c>
      <c r="G94" s="7">
        <f t="shared" ref="G94" si="72">+F94</f>
        <v>40600</v>
      </c>
      <c r="H94" s="7">
        <f t="shared" si="67"/>
        <v>0</v>
      </c>
      <c r="I94" s="29"/>
    </row>
    <row r="95" spans="1:9" s="3" customFormat="1" x14ac:dyDescent="0.25">
      <c r="A95" s="1">
        <v>3.5</v>
      </c>
      <c r="B95" s="3" t="s">
        <v>47</v>
      </c>
      <c r="C95" s="13">
        <f>+C96+C99+C101+C103+C97+C98+C100+C102</f>
        <v>7190000</v>
      </c>
      <c r="D95" s="13">
        <f t="shared" ref="D95:H95" si="73">+D96+D99+D101+D103+D97+D98+D100+D102</f>
        <v>6280176.3899999997</v>
      </c>
      <c r="E95" s="13">
        <f t="shared" si="73"/>
        <v>13470176.390000002</v>
      </c>
      <c r="F95" s="13">
        <f t="shared" si="73"/>
        <v>13343562.390000002</v>
      </c>
      <c r="G95" s="13">
        <f t="shared" si="73"/>
        <v>13343562.390000002</v>
      </c>
      <c r="H95" s="13">
        <f t="shared" si="73"/>
        <v>126614.00000000001</v>
      </c>
      <c r="I95" s="29"/>
    </row>
    <row r="96" spans="1:9" x14ac:dyDescent="0.25">
      <c r="A96" s="10" t="s">
        <v>170</v>
      </c>
      <c r="B96" s="2" t="s">
        <v>175</v>
      </c>
      <c r="C96" s="7">
        <v>2000000</v>
      </c>
      <c r="D96" s="7">
        <f>7232971.26-C96</f>
        <v>5232971.26</v>
      </c>
      <c r="E96" s="7">
        <f t="shared" ref="E96:E103" si="74">+C96+D96</f>
        <v>7232971.2599999998</v>
      </c>
      <c r="F96" s="7">
        <v>7232971.2599999998</v>
      </c>
      <c r="G96" s="7">
        <f t="shared" ref="G96:G103" si="75">+F96</f>
        <v>7232971.2599999998</v>
      </c>
      <c r="H96" s="7">
        <f t="shared" ref="H96:H103" si="76">+E96-G96</f>
        <v>0</v>
      </c>
      <c r="I96" s="29"/>
    </row>
    <row r="97" spans="1:9" x14ac:dyDescent="0.25">
      <c r="A97" s="10" t="s">
        <v>266</v>
      </c>
      <c r="B97" s="2" t="s">
        <v>310</v>
      </c>
      <c r="C97" s="7">
        <v>100000</v>
      </c>
      <c r="D97" s="7">
        <f>0-C97</f>
        <v>-100000</v>
      </c>
      <c r="E97" s="7">
        <f t="shared" ref="E97" si="77">+C97+D97</f>
        <v>0</v>
      </c>
      <c r="F97" s="7">
        <v>0</v>
      </c>
      <c r="G97" s="7">
        <f t="shared" ref="G97" si="78">+F97</f>
        <v>0</v>
      </c>
      <c r="H97" s="7">
        <f t="shared" si="76"/>
        <v>0</v>
      </c>
      <c r="I97" s="29"/>
    </row>
    <row r="98" spans="1:9" x14ac:dyDescent="0.25">
      <c r="A98" s="10" t="s">
        <v>309</v>
      </c>
      <c r="B98" s="2" t="s">
        <v>311</v>
      </c>
      <c r="C98" s="7">
        <v>50000</v>
      </c>
      <c r="D98" s="7">
        <f>0-C98</f>
        <v>-50000</v>
      </c>
      <c r="E98" s="7">
        <f t="shared" ref="E98" si="79">+C98+D98</f>
        <v>0</v>
      </c>
      <c r="F98" s="7">
        <v>0</v>
      </c>
      <c r="G98" s="7">
        <f t="shared" ref="G98" si="80">+F98</f>
        <v>0</v>
      </c>
      <c r="H98" s="7">
        <f t="shared" si="76"/>
        <v>0</v>
      </c>
      <c r="I98" s="29"/>
    </row>
    <row r="99" spans="1:9" x14ac:dyDescent="0.25">
      <c r="A99" s="10" t="s">
        <v>171</v>
      </c>
      <c r="B99" s="2" t="s">
        <v>176</v>
      </c>
      <c r="C99" s="7">
        <v>3900000</v>
      </c>
      <c r="D99" s="7">
        <f>5866413.2-C99</f>
        <v>1966413.2000000002</v>
      </c>
      <c r="E99" s="7">
        <f t="shared" si="74"/>
        <v>5866413.2000000002</v>
      </c>
      <c r="F99" s="7">
        <v>5739799.2000000002</v>
      </c>
      <c r="G99" s="7">
        <v>5739799.2000000002</v>
      </c>
      <c r="H99" s="7">
        <f>+E99-G99</f>
        <v>126614</v>
      </c>
      <c r="I99" s="29"/>
    </row>
    <row r="100" spans="1:9" x14ac:dyDescent="0.25">
      <c r="A100" s="10" t="s">
        <v>312</v>
      </c>
      <c r="B100" s="2" t="s">
        <v>313</v>
      </c>
      <c r="C100" s="7">
        <v>100000</v>
      </c>
      <c r="D100" s="7">
        <f>0-C100</f>
        <v>-100000</v>
      </c>
      <c r="E100" s="7">
        <f t="shared" ref="E100" si="81">+C100+D100</f>
        <v>0</v>
      </c>
      <c r="F100" s="7">
        <v>0</v>
      </c>
      <c r="G100" s="7">
        <f t="shared" ref="G100" si="82">+F100</f>
        <v>0</v>
      </c>
      <c r="H100" s="7">
        <f t="shared" si="76"/>
        <v>0</v>
      </c>
      <c r="I100" s="29"/>
    </row>
    <row r="101" spans="1:9" x14ac:dyDescent="0.25">
      <c r="A101" s="10" t="s">
        <v>172</v>
      </c>
      <c r="B101" s="2" t="s">
        <v>177</v>
      </c>
      <c r="C101" s="7">
        <v>500000</v>
      </c>
      <c r="D101" s="7">
        <f>230456.72-C101</f>
        <v>-269543.28000000003</v>
      </c>
      <c r="E101" s="7">
        <f t="shared" si="74"/>
        <v>230456.71999999997</v>
      </c>
      <c r="F101" s="7">
        <v>230456.72</v>
      </c>
      <c r="G101" s="7">
        <f t="shared" si="75"/>
        <v>230456.72</v>
      </c>
      <c r="H101" s="7">
        <f t="shared" si="76"/>
        <v>0</v>
      </c>
      <c r="I101" s="29"/>
    </row>
    <row r="102" spans="1:9" x14ac:dyDescent="0.25">
      <c r="A102" s="10" t="s">
        <v>173</v>
      </c>
      <c r="B102" s="2" t="s">
        <v>178</v>
      </c>
      <c r="C102" s="7">
        <v>500000</v>
      </c>
      <c r="D102" s="7">
        <f>4034.71-C102</f>
        <v>-495965.29</v>
      </c>
      <c r="E102" s="7">
        <f t="shared" ref="E102" si="83">+C102+D102</f>
        <v>4034.710000000021</v>
      </c>
      <c r="F102" s="7">
        <v>4034.71</v>
      </c>
      <c r="G102" s="7">
        <f t="shared" ref="G102" si="84">+F102</f>
        <v>4034.71</v>
      </c>
      <c r="H102" s="7">
        <f t="shared" si="76"/>
        <v>2.0918378140777349E-11</v>
      </c>
      <c r="I102" s="29"/>
    </row>
    <row r="103" spans="1:9" x14ac:dyDescent="0.25">
      <c r="A103" s="10" t="s">
        <v>174</v>
      </c>
      <c r="B103" s="2" t="s">
        <v>179</v>
      </c>
      <c r="C103" s="7">
        <v>40000</v>
      </c>
      <c r="D103" s="7">
        <f>136300.5-C103</f>
        <v>96300.5</v>
      </c>
      <c r="E103" s="7">
        <f t="shared" si="74"/>
        <v>136300.5</v>
      </c>
      <c r="F103" s="7">
        <v>136300.5</v>
      </c>
      <c r="G103" s="7">
        <f t="shared" si="75"/>
        <v>136300.5</v>
      </c>
      <c r="H103" s="7">
        <f t="shared" si="76"/>
        <v>0</v>
      </c>
      <c r="I103" s="29"/>
    </row>
    <row r="104" spans="1:9" s="3" customFormat="1" x14ac:dyDescent="0.25">
      <c r="A104" s="1">
        <v>3.6</v>
      </c>
      <c r="B104" s="3" t="s">
        <v>48</v>
      </c>
      <c r="C104" s="13">
        <f>+C105</f>
        <v>3630000</v>
      </c>
      <c r="D104" s="13">
        <f>+D105</f>
        <v>-1838895.53</v>
      </c>
      <c r="E104" s="13">
        <f>+E105</f>
        <v>1791104.47</v>
      </c>
      <c r="F104" s="13">
        <f>+F105</f>
        <v>1791104.47</v>
      </c>
      <c r="G104" s="13">
        <f t="shared" ref="G104:H104" si="85">+G105</f>
        <v>1791104.47</v>
      </c>
      <c r="H104" s="13">
        <f t="shared" si="85"/>
        <v>0</v>
      </c>
      <c r="I104" s="29"/>
    </row>
    <row r="105" spans="1:9" x14ac:dyDescent="0.25">
      <c r="A105" s="10" t="s">
        <v>180</v>
      </c>
      <c r="B105" s="2" t="s">
        <v>181</v>
      </c>
      <c r="C105" s="7">
        <v>3630000</v>
      </c>
      <c r="D105" s="7">
        <f>1791104.47-C105</f>
        <v>-1838895.53</v>
      </c>
      <c r="E105" s="7">
        <f>+C105+D105</f>
        <v>1791104.47</v>
      </c>
      <c r="F105" s="7">
        <v>1791104.47</v>
      </c>
      <c r="G105" s="7">
        <f t="shared" si="50"/>
        <v>1791104.47</v>
      </c>
      <c r="H105" s="7">
        <f>+E105-G105</f>
        <v>0</v>
      </c>
      <c r="I105" s="29"/>
    </row>
    <row r="106" spans="1:9" s="3" customFormat="1" x14ac:dyDescent="0.25">
      <c r="A106" s="1">
        <v>3.7</v>
      </c>
      <c r="B106" s="3" t="s">
        <v>24</v>
      </c>
      <c r="C106" s="13">
        <f>+C107+C108+C109+C110</f>
        <v>700000</v>
      </c>
      <c r="D106" s="13">
        <f t="shared" ref="D106:H106" si="86">+D107+D108+D109+D110</f>
        <v>-617745.62</v>
      </c>
      <c r="E106" s="13">
        <f t="shared" si="86"/>
        <v>82254.380000000034</v>
      </c>
      <c r="F106" s="13">
        <f t="shared" si="86"/>
        <v>82254.38</v>
      </c>
      <c r="G106" s="13">
        <f t="shared" si="86"/>
        <v>82254.38</v>
      </c>
      <c r="H106" s="13">
        <f t="shared" si="86"/>
        <v>0</v>
      </c>
      <c r="I106" s="29"/>
    </row>
    <row r="107" spans="1:9" x14ac:dyDescent="0.25">
      <c r="A107" s="10" t="s">
        <v>182</v>
      </c>
      <c r="B107" s="2" t="s">
        <v>185</v>
      </c>
      <c r="C107" s="7">
        <v>50000</v>
      </c>
      <c r="D107" s="7">
        <f>1940.97-C107</f>
        <v>-48059.03</v>
      </c>
      <c r="E107" s="7">
        <f t="shared" ref="E107:E108" si="87">+C107+D107</f>
        <v>1940.9700000000012</v>
      </c>
      <c r="F107" s="7">
        <v>1940.97</v>
      </c>
      <c r="G107" s="7">
        <f t="shared" ref="G107:G108" si="88">+F107</f>
        <v>1940.97</v>
      </c>
      <c r="H107" s="7">
        <f t="shared" ref="H107:H110" si="89">+E107-G107</f>
        <v>0</v>
      </c>
      <c r="I107" s="29"/>
    </row>
    <row r="108" spans="1:9" x14ac:dyDescent="0.25">
      <c r="A108" s="10" t="s">
        <v>183</v>
      </c>
      <c r="B108" s="2" t="s">
        <v>314</v>
      </c>
      <c r="C108" s="7">
        <v>350000</v>
      </c>
      <c r="D108" s="7">
        <f>78765.41-C108</f>
        <v>-271234.58999999997</v>
      </c>
      <c r="E108" s="7">
        <f t="shared" si="87"/>
        <v>78765.410000000033</v>
      </c>
      <c r="F108" s="7">
        <v>78765.41</v>
      </c>
      <c r="G108" s="7">
        <f t="shared" si="88"/>
        <v>78765.41</v>
      </c>
      <c r="H108" s="7">
        <f>+E108-G108</f>
        <v>0</v>
      </c>
      <c r="I108" s="29"/>
    </row>
    <row r="109" spans="1:9" x14ac:dyDescent="0.25">
      <c r="A109" s="10" t="s">
        <v>315</v>
      </c>
      <c r="B109" s="2" t="s">
        <v>316</v>
      </c>
      <c r="C109" s="7">
        <v>290000</v>
      </c>
      <c r="D109" s="7">
        <f>0-C109</f>
        <v>-290000</v>
      </c>
      <c r="E109" s="7">
        <f t="shared" ref="E109" si="90">+C109+D109</f>
        <v>0</v>
      </c>
      <c r="F109" s="7">
        <v>0</v>
      </c>
      <c r="G109" s="7">
        <f t="shared" ref="G109" si="91">+F109</f>
        <v>0</v>
      </c>
      <c r="H109" s="7">
        <f t="shared" si="89"/>
        <v>0</v>
      </c>
      <c r="I109" s="29"/>
    </row>
    <row r="110" spans="1:9" x14ac:dyDescent="0.25">
      <c r="A110" s="10" t="s">
        <v>184</v>
      </c>
      <c r="B110" s="2" t="s">
        <v>187</v>
      </c>
      <c r="C110" s="7">
        <v>10000</v>
      </c>
      <c r="D110" s="7">
        <f>1548-C110</f>
        <v>-8452</v>
      </c>
      <c r="E110" s="7">
        <f t="shared" ref="E110" si="92">+C110+D110</f>
        <v>1548</v>
      </c>
      <c r="F110" s="7">
        <v>1548</v>
      </c>
      <c r="G110" s="7">
        <f t="shared" ref="G110" si="93">+F110</f>
        <v>1548</v>
      </c>
      <c r="H110" s="7">
        <f t="shared" si="89"/>
        <v>0</v>
      </c>
      <c r="I110" s="29"/>
    </row>
    <row r="111" spans="1:9" s="3" customFormat="1" x14ac:dyDescent="0.25">
      <c r="A111" s="1">
        <v>3.8</v>
      </c>
      <c r="B111" s="3" t="s">
        <v>25</v>
      </c>
      <c r="C111" s="13">
        <f>+C112+C113+C114</f>
        <v>5850000</v>
      </c>
      <c r="D111" s="13">
        <f>+D112+D113+D114</f>
        <v>-36282.580000000075</v>
      </c>
      <c r="E111" s="13">
        <f>+E112+E113+E114</f>
        <v>5813717.4199999999</v>
      </c>
      <c r="F111" s="13">
        <f t="shared" ref="F111:H111" si="94">+F112+F113+F114</f>
        <v>5681651.4199999999</v>
      </c>
      <c r="G111" s="13">
        <f t="shared" si="94"/>
        <v>5681651.4199999999</v>
      </c>
      <c r="H111" s="13">
        <f t="shared" si="94"/>
        <v>132066</v>
      </c>
      <c r="I111" s="29"/>
    </row>
    <row r="112" spans="1:9" x14ac:dyDescent="0.25">
      <c r="A112" s="10" t="s">
        <v>188</v>
      </c>
      <c r="B112" s="2" t="s">
        <v>191</v>
      </c>
      <c r="C112" s="7">
        <v>2500000</v>
      </c>
      <c r="D112" s="7">
        <f>825340.29-C112</f>
        <v>-1674659.71</v>
      </c>
      <c r="E112" s="7">
        <f t="shared" ref="E112:E114" si="95">+C112+D112</f>
        <v>825340.29</v>
      </c>
      <c r="F112" s="7">
        <v>825340.29</v>
      </c>
      <c r="G112" s="7">
        <f t="shared" si="50"/>
        <v>825340.29</v>
      </c>
      <c r="H112" s="7">
        <f t="shared" ref="H112:H114" si="96">+E112-G112</f>
        <v>0</v>
      </c>
      <c r="I112" s="29"/>
    </row>
    <row r="113" spans="1:10" x14ac:dyDescent="0.25">
      <c r="A113" s="10" t="s">
        <v>189</v>
      </c>
      <c r="B113" s="2" t="s">
        <v>192</v>
      </c>
      <c r="C113" s="7">
        <v>3000000</v>
      </c>
      <c r="D113" s="7">
        <f>4988377.13-C113</f>
        <v>1988377.13</v>
      </c>
      <c r="E113" s="7">
        <f t="shared" si="95"/>
        <v>4988377.13</v>
      </c>
      <c r="F113" s="7">
        <v>4856311.13</v>
      </c>
      <c r="G113" s="7">
        <v>4856311.13</v>
      </c>
      <c r="H113" s="7">
        <f t="shared" si="96"/>
        <v>132066</v>
      </c>
      <c r="I113" s="29"/>
    </row>
    <row r="114" spans="1:10" x14ac:dyDescent="0.25">
      <c r="A114" s="10" t="s">
        <v>190</v>
      </c>
      <c r="B114" s="2" t="s">
        <v>193</v>
      </c>
      <c r="C114" s="7">
        <v>350000</v>
      </c>
      <c r="D114" s="7">
        <f>0-C114</f>
        <v>-350000</v>
      </c>
      <c r="E114" s="7">
        <f t="shared" si="95"/>
        <v>0</v>
      </c>
      <c r="F114" s="7">
        <v>0</v>
      </c>
      <c r="G114" s="7">
        <f t="shared" si="50"/>
        <v>0</v>
      </c>
      <c r="H114" s="7">
        <f t="shared" si="96"/>
        <v>0</v>
      </c>
      <c r="I114" s="29"/>
    </row>
    <row r="115" spans="1:10" s="3" customFormat="1" x14ac:dyDescent="0.25">
      <c r="A115" s="1">
        <v>3.9</v>
      </c>
      <c r="B115" s="3" t="s">
        <v>26</v>
      </c>
      <c r="C115" s="13">
        <f t="shared" ref="C115:H115" si="97">+C116+C117+C118+C119+C1293+C120</f>
        <v>4070000</v>
      </c>
      <c r="D115" s="13">
        <f t="shared" si="97"/>
        <v>5667042.6999999993</v>
      </c>
      <c r="E115" s="13">
        <f t="shared" si="97"/>
        <v>9737042.6999999993</v>
      </c>
      <c r="F115" s="13">
        <f t="shared" si="97"/>
        <v>8053859.9699999997</v>
      </c>
      <c r="G115" s="13">
        <f t="shared" si="97"/>
        <v>8053859.9699999997</v>
      </c>
      <c r="H115" s="13">
        <f t="shared" si="97"/>
        <v>1683182.73</v>
      </c>
      <c r="I115" s="29"/>
    </row>
    <row r="116" spans="1:10" x14ac:dyDescent="0.25">
      <c r="A116" s="10" t="s">
        <v>194</v>
      </c>
      <c r="B116" s="2" t="s">
        <v>199</v>
      </c>
      <c r="C116" s="7">
        <v>400000</v>
      </c>
      <c r="D116" s="7">
        <f>813656.62-C116</f>
        <v>413656.62</v>
      </c>
      <c r="E116" s="7">
        <f t="shared" ref="E116:E120" si="98">+C116+D116</f>
        <v>813656.62</v>
      </c>
      <c r="F116" s="7">
        <v>785510.94</v>
      </c>
      <c r="G116" s="7">
        <v>785510.94</v>
      </c>
      <c r="H116" s="7">
        <f t="shared" ref="H116:H120" si="99">+E116-G116</f>
        <v>28145.680000000051</v>
      </c>
      <c r="I116" s="29"/>
    </row>
    <row r="117" spans="1:10" x14ac:dyDescent="0.25">
      <c r="A117" s="10" t="s">
        <v>195</v>
      </c>
      <c r="B117" s="2" t="s">
        <v>200</v>
      </c>
      <c r="C117" s="7">
        <v>100000</v>
      </c>
      <c r="D117" s="7">
        <f>156891-C117</f>
        <v>56891</v>
      </c>
      <c r="E117" s="7">
        <f t="shared" si="98"/>
        <v>156891</v>
      </c>
      <c r="F117" s="7">
        <v>156891</v>
      </c>
      <c r="G117" s="7">
        <f t="shared" ref="G117:G118" si="100">+F117</f>
        <v>156891</v>
      </c>
      <c r="H117" s="7">
        <f t="shared" si="99"/>
        <v>0</v>
      </c>
      <c r="I117" s="29"/>
    </row>
    <row r="118" spans="1:10" x14ac:dyDescent="0.25">
      <c r="A118" s="10" t="s">
        <v>196</v>
      </c>
      <c r="B118" s="2" t="s">
        <v>201</v>
      </c>
      <c r="C118" s="7">
        <v>70000</v>
      </c>
      <c r="D118" s="7">
        <f>473851.07-C118</f>
        <v>403851.07</v>
      </c>
      <c r="E118" s="7">
        <f t="shared" si="98"/>
        <v>473851.07</v>
      </c>
      <c r="F118" s="7">
        <v>473851.07</v>
      </c>
      <c r="G118" s="7">
        <f t="shared" si="100"/>
        <v>473851.07</v>
      </c>
      <c r="H118" s="7">
        <f t="shared" si="99"/>
        <v>0</v>
      </c>
      <c r="I118" s="29"/>
    </row>
    <row r="119" spans="1:10" x14ac:dyDescent="0.25">
      <c r="A119" s="10" t="s">
        <v>197</v>
      </c>
      <c r="B119" s="2" t="s">
        <v>202</v>
      </c>
      <c r="C119" s="7">
        <v>2500000</v>
      </c>
      <c r="D119" s="7">
        <f>3031723-C119</f>
        <v>531723</v>
      </c>
      <c r="E119" s="7">
        <f t="shared" si="98"/>
        <v>3031723</v>
      </c>
      <c r="F119" s="7">
        <v>2486733</v>
      </c>
      <c r="G119" s="7">
        <v>2486733</v>
      </c>
      <c r="H119" s="7">
        <f t="shared" si="99"/>
        <v>544990</v>
      </c>
      <c r="I119" s="29"/>
    </row>
    <row r="120" spans="1:10" x14ac:dyDescent="0.25">
      <c r="A120" s="10" t="s">
        <v>198</v>
      </c>
      <c r="B120" s="2" t="s">
        <v>26</v>
      </c>
      <c r="C120" s="7">
        <v>1000000</v>
      </c>
      <c r="D120" s="7">
        <f>5260921.01-C120</f>
        <v>4260921.01</v>
      </c>
      <c r="E120" s="7">
        <f t="shared" si="98"/>
        <v>5260921.01</v>
      </c>
      <c r="F120" s="7">
        <v>4150873.96</v>
      </c>
      <c r="G120" s="7">
        <v>4150873.96</v>
      </c>
      <c r="H120" s="7">
        <f t="shared" si="99"/>
        <v>1110047.0499999998</v>
      </c>
      <c r="I120" s="29"/>
    </row>
    <row r="121" spans="1:10" s="3" customFormat="1" x14ac:dyDescent="0.25">
      <c r="A121" s="5">
        <v>4</v>
      </c>
      <c r="B121" s="4" t="s">
        <v>49</v>
      </c>
      <c r="C121" s="6">
        <f>+C122+C125+C127+C129+C140+C137</f>
        <v>26450000</v>
      </c>
      <c r="D121" s="6">
        <f t="shared" ref="D121" si="101">+D122+D125+D127+D129+D140+D137</f>
        <v>-3121581.21</v>
      </c>
      <c r="E121" s="6">
        <f>+E122+E125+E127+E129+E140+E137</f>
        <v>23328418.789999999</v>
      </c>
      <c r="F121" s="6">
        <f t="shared" ref="F121:H121" si="102">+F122+F125+F127+F129+F140</f>
        <v>23023468.789999999</v>
      </c>
      <c r="G121" s="6">
        <f t="shared" si="102"/>
        <v>23023468.789999999</v>
      </c>
      <c r="H121" s="6">
        <f t="shared" si="102"/>
        <v>304950</v>
      </c>
      <c r="I121" s="29"/>
      <c r="J121" s="30"/>
    </row>
    <row r="122" spans="1:10" s="3" customFormat="1" x14ac:dyDescent="0.25">
      <c r="A122" s="1">
        <v>4.0999999999999996</v>
      </c>
      <c r="B122" s="3" t="s">
        <v>50</v>
      </c>
      <c r="C122" s="13">
        <f>+C123+C124</f>
        <v>20000000</v>
      </c>
      <c r="D122" s="13">
        <f t="shared" ref="D122:H122" si="103">+D123+D124</f>
        <v>-7803310</v>
      </c>
      <c r="E122" s="13">
        <f>+E123+E124</f>
        <v>12196690</v>
      </c>
      <c r="F122" s="13">
        <f>+F123+F124</f>
        <v>12196690</v>
      </c>
      <c r="G122" s="13">
        <f t="shared" si="103"/>
        <v>12196690</v>
      </c>
      <c r="H122" s="13">
        <f t="shared" si="103"/>
        <v>0</v>
      </c>
      <c r="I122" s="29"/>
    </row>
    <row r="123" spans="1:10" x14ac:dyDescent="0.25">
      <c r="A123" s="10" t="s">
        <v>204</v>
      </c>
      <c r="B123" s="2" t="s">
        <v>207</v>
      </c>
      <c r="C123" s="7">
        <v>0</v>
      </c>
      <c r="D123" s="7">
        <v>0</v>
      </c>
      <c r="E123" s="7">
        <f t="shared" ref="E123:E124" si="104">+C123+D123</f>
        <v>0</v>
      </c>
      <c r="F123" s="7">
        <v>0</v>
      </c>
      <c r="G123" s="7">
        <f t="shared" ref="G123:G124" si="105">+F123</f>
        <v>0</v>
      </c>
      <c r="H123" s="7">
        <f t="shared" ref="H123:H124" si="106">+E123-G123</f>
        <v>0</v>
      </c>
      <c r="I123" s="29"/>
    </row>
    <row r="124" spans="1:10" x14ac:dyDescent="0.25">
      <c r="A124" s="10" t="s">
        <v>205</v>
      </c>
      <c r="B124" s="2" t="s">
        <v>208</v>
      </c>
      <c r="C124" s="7">
        <v>20000000</v>
      </c>
      <c r="D124" s="7">
        <f>12196690-C124</f>
        <v>-7803310</v>
      </c>
      <c r="E124" s="7">
        <f t="shared" si="104"/>
        <v>12196690</v>
      </c>
      <c r="F124" s="7">
        <v>12196690</v>
      </c>
      <c r="G124" s="7">
        <f t="shared" si="105"/>
        <v>12196690</v>
      </c>
      <c r="H124" s="7">
        <f t="shared" si="106"/>
        <v>0</v>
      </c>
      <c r="I124" s="29"/>
    </row>
    <row r="125" spans="1:10" s="3" customFormat="1" x14ac:dyDescent="0.25">
      <c r="A125" s="1">
        <v>4.2</v>
      </c>
      <c r="B125" s="3" t="s">
        <v>51</v>
      </c>
      <c r="C125" s="13">
        <f>+C126</f>
        <v>0</v>
      </c>
      <c r="D125" s="13">
        <f t="shared" ref="D125:H125" si="107">+D126</f>
        <v>2483</v>
      </c>
      <c r="E125" s="13">
        <f>+E126</f>
        <v>2483</v>
      </c>
      <c r="F125" s="13">
        <f t="shared" si="107"/>
        <v>2483</v>
      </c>
      <c r="G125" s="13">
        <f t="shared" si="107"/>
        <v>2483</v>
      </c>
      <c r="H125" s="13">
        <f t="shared" si="107"/>
        <v>0</v>
      </c>
      <c r="I125" s="29"/>
    </row>
    <row r="126" spans="1:10" x14ac:dyDescent="0.25">
      <c r="A126" s="10" t="s">
        <v>209</v>
      </c>
      <c r="B126" s="2" t="s">
        <v>215</v>
      </c>
      <c r="C126" s="7">
        <v>0</v>
      </c>
      <c r="D126" s="7">
        <v>2483</v>
      </c>
      <c r="E126" s="7">
        <f>+C126+D126</f>
        <v>2483</v>
      </c>
      <c r="F126" s="7">
        <v>2483</v>
      </c>
      <c r="G126" s="7">
        <f t="shared" si="50"/>
        <v>2483</v>
      </c>
      <c r="H126" s="7">
        <f>+E126-G126</f>
        <v>0</v>
      </c>
      <c r="I126" s="29"/>
    </row>
    <row r="127" spans="1:10" s="3" customFormat="1" x14ac:dyDescent="0.25">
      <c r="A127" s="1" t="s">
        <v>210</v>
      </c>
      <c r="B127" s="3" t="s">
        <v>27</v>
      </c>
      <c r="C127" s="13">
        <f>+C128</f>
        <v>0</v>
      </c>
      <c r="D127" s="13">
        <f t="shared" ref="D127" si="108">+D128</f>
        <v>231250</v>
      </c>
      <c r="E127" s="13">
        <f>+E128</f>
        <v>231250</v>
      </c>
      <c r="F127" s="13">
        <f t="shared" ref="F127:H127" si="109">+F128</f>
        <v>0</v>
      </c>
      <c r="G127" s="13">
        <f t="shared" si="109"/>
        <v>0</v>
      </c>
      <c r="H127" s="13">
        <f t="shared" si="109"/>
        <v>231250</v>
      </c>
      <c r="I127" s="29"/>
    </row>
    <row r="128" spans="1:10" x14ac:dyDescent="0.25">
      <c r="A128" s="10" t="s">
        <v>414</v>
      </c>
      <c r="B128" s="2" t="s">
        <v>415</v>
      </c>
      <c r="C128" s="7">
        <v>0</v>
      </c>
      <c r="D128" s="7">
        <v>231250</v>
      </c>
      <c r="E128" s="7">
        <f>+C128+D128</f>
        <v>231250</v>
      </c>
      <c r="F128" s="7">
        <v>0</v>
      </c>
      <c r="G128" s="7">
        <f t="shared" ref="G128" si="110">+F128</f>
        <v>0</v>
      </c>
      <c r="H128" s="7">
        <f>+E128-G128</f>
        <v>231250</v>
      </c>
      <c r="I128" s="29"/>
    </row>
    <row r="129" spans="1:9" s="3" customFormat="1" x14ac:dyDescent="0.25">
      <c r="A129" s="1">
        <v>4.4000000000000004</v>
      </c>
      <c r="B129" s="3" t="s">
        <v>28</v>
      </c>
      <c r="C129" s="13">
        <f>+C130+C131+C132+C133+C136+C135</f>
        <v>6250000</v>
      </c>
      <c r="D129" s="13">
        <f t="shared" ref="D129:H129" si="111">+D130+D131+D132+D133+D136+D135</f>
        <v>4647995.79</v>
      </c>
      <c r="E129" s="13">
        <f t="shared" si="111"/>
        <v>10897995.789999999</v>
      </c>
      <c r="F129" s="13">
        <f t="shared" si="111"/>
        <v>10824295.789999999</v>
      </c>
      <c r="G129" s="13">
        <f t="shared" si="111"/>
        <v>10824295.789999999</v>
      </c>
      <c r="H129" s="13">
        <f t="shared" si="111"/>
        <v>73700</v>
      </c>
      <c r="I129" s="29"/>
    </row>
    <row r="130" spans="1:9" x14ac:dyDescent="0.25">
      <c r="A130" s="10" t="s">
        <v>211</v>
      </c>
      <c r="B130" s="2" t="s">
        <v>216</v>
      </c>
      <c r="C130" s="7">
        <v>2000000</v>
      </c>
      <c r="D130" s="7">
        <f>4616376.76-C130</f>
        <v>2616376.7599999998</v>
      </c>
      <c r="E130" s="7">
        <f t="shared" ref="E130:E132" si="112">+C130+D130</f>
        <v>4616376.76</v>
      </c>
      <c r="F130" s="7">
        <v>4542676.76</v>
      </c>
      <c r="G130" s="7">
        <v>4542676.76</v>
      </c>
      <c r="H130" s="7">
        <f t="shared" ref="H130:H132" si="113">+E130-G130</f>
        <v>73700</v>
      </c>
      <c r="I130" s="29"/>
    </row>
    <row r="131" spans="1:9" x14ac:dyDescent="0.25">
      <c r="A131" s="10" t="s">
        <v>212</v>
      </c>
      <c r="B131" s="2" t="s">
        <v>217</v>
      </c>
      <c r="C131" s="7">
        <v>200000</v>
      </c>
      <c r="D131" s="7">
        <f>205700-C131</f>
        <v>5700</v>
      </c>
      <c r="E131" s="7">
        <f t="shared" si="112"/>
        <v>205700</v>
      </c>
      <c r="F131" s="7">
        <v>205700</v>
      </c>
      <c r="G131" s="7">
        <f t="shared" si="50"/>
        <v>205700</v>
      </c>
      <c r="H131" s="7">
        <f t="shared" si="113"/>
        <v>0</v>
      </c>
      <c r="I131" s="29"/>
    </row>
    <row r="132" spans="1:9" x14ac:dyDescent="0.25">
      <c r="A132" s="10" t="s">
        <v>213</v>
      </c>
      <c r="B132" s="2" t="s">
        <v>218</v>
      </c>
      <c r="C132" s="7">
        <v>1700000</v>
      </c>
      <c r="D132" s="7">
        <f>3156291.35-C132</f>
        <v>1456291.35</v>
      </c>
      <c r="E132" s="7">
        <f t="shared" si="112"/>
        <v>3156291.35</v>
      </c>
      <c r="F132" s="7">
        <v>3156291.35</v>
      </c>
      <c r="G132" s="7">
        <f t="shared" si="50"/>
        <v>3156291.35</v>
      </c>
      <c r="H132" s="7">
        <f t="shared" si="113"/>
        <v>0</v>
      </c>
      <c r="I132" s="29"/>
    </row>
    <row r="133" spans="1:9" s="3" customFormat="1" x14ac:dyDescent="0.25">
      <c r="A133" s="22" t="s">
        <v>220</v>
      </c>
      <c r="B133" s="3" t="s">
        <v>223</v>
      </c>
      <c r="C133" s="13">
        <f>+C134</f>
        <v>2200000</v>
      </c>
      <c r="D133" s="13">
        <f t="shared" ref="D133:H133" si="114">+D134</f>
        <v>-276000</v>
      </c>
      <c r="E133" s="13">
        <f t="shared" si="114"/>
        <v>1924000</v>
      </c>
      <c r="F133" s="13">
        <f t="shared" si="114"/>
        <v>1924000</v>
      </c>
      <c r="G133" s="13">
        <f t="shared" si="114"/>
        <v>1924000</v>
      </c>
      <c r="H133" s="13">
        <f t="shared" si="114"/>
        <v>0</v>
      </c>
      <c r="I133" s="29"/>
    </row>
    <row r="134" spans="1:9" x14ac:dyDescent="0.25">
      <c r="A134" s="10" t="s">
        <v>221</v>
      </c>
      <c r="B134" s="2" t="s">
        <v>224</v>
      </c>
      <c r="C134" s="7">
        <v>2200000</v>
      </c>
      <c r="D134" s="7">
        <f>1924000-C134</f>
        <v>-276000</v>
      </c>
      <c r="E134" s="7">
        <f t="shared" ref="E134:E136" si="115">+C134+D134</f>
        <v>1924000</v>
      </c>
      <c r="F134" s="7">
        <v>1924000</v>
      </c>
      <c r="G134" s="7">
        <f t="shared" ref="G134:G136" si="116">+F134</f>
        <v>1924000</v>
      </c>
      <c r="H134" s="7">
        <f t="shared" ref="H134:H136" si="117">+E134-G134</f>
        <v>0</v>
      </c>
      <c r="I134" s="29"/>
    </row>
    <row r="135" spans="1:9" x14ac:dyDescent="0.25">
      <c r="A135" s="10" t="s">
        <v>317</v>
      </c>
      <c r="B135" s="2" t="s">
        <v>318</v>
      </c>
      <c r="C135" s="7">
        <v>150000</v>
      </c>
      <c r="D135" s="7">
        <f>995627.68-C135</f>
        <v>845627.68</v>
      </c>
      <c r="E135" s="7">
        <f t="shared" ref="E135" si="118">+C135+D135</f>
        <v>995627.68</v>
      </c>
      <c r="F135" s="33">
        <v>995627.68</v>
      </c>
      <c r="G135" s="7">
        <f t="shared" ref="G135" si="119">+F135</f>
        <v>995627.68</v>
      </c>
      <c r="H135" s="7">
        <f t="shared" si="117"/>
        <v>0</v>
      </c>
      <c r="I135" s="29"/>
    </row>
    <row r="136" spans="1:9" x14ac:dyDescent="0.25">
      <c r="A136" s="10" t="s">
        <v>222</v>
      </c>
      <c r="B136" s="2" t="s">
        <v>225</v>
      </c>
      <c r="C136" s="7">
        <v>0</v>
      </c>
      <c r="D136" s="7">
        <v>0</v>
      </c>
      <c r="E136" s="7">
        <f t="shared" si="115"/>
        <v>0</v>
      </c>
      <c r="F136" s="7">
        <v>0</v>
      </c>
      <c r="G136" s="7">
        <f t="shared" si="116"/>
        <v>0</v>
      </c>
      <c r="H136" s="7">
        <f t="shared" si="117"/>
        <v>0</v>
      </c>
      <c r="I136" s="29"/>
    </row>
    <row r="137" spans="1:9" s="3" customFormat="1" x14ac:dyDescent="0.25">
      <c r="A137" s="1" t="s">
        <v>319</v>
      </c>
      <c r="B137" s="3" t="s">
        <v>321</v>
      </c>
      <c r="C137" s="13">
        <f>+C138+C139</f>
        <v>200000</v>
      </c>
      <c r="D137" s="13">
        <f t="shared" ref="D137:H137" si="120">+D138+D139</f>
        <v>-200000</v>
      </c>
      <c r="E137" s="13">
        <f t="shared" si="120"/>
        <v>0</v>
      </c>
      <c r="F137" s="13">
        <f t="shared" si="120"/>
        <v>0</v>
      </c>
      <c r="G137" s="13">
        <f t="shared" si="120"/>
        <v>0</v>
      </c>
      <c r="H137" s="13">
        <f t="shared" si="120"/>
        <v>0</v>
      </c>
      <c r="I137" s="29"/>
    </row>
    <row r="138" spans="1:9" x14ac:dyDescent="0.25">
      <c r="A138" s="10" t="s">
        <v>320</v>
      </c>
      <c r="B138" s="2" t="s">
        <v>322</v>
      </c>
      <c r="C138" s="7">
        <v>100000</v>
      </c>
      <c r="D138" s="7">
        <f>0-C138</f>
        <v>-100000</v>
      </c>
      <c r="E138" s="7">
        <f t="shared" ref="E138:E139" si="121">+C138+D138</f>
        <v>0</v>
      </c>
      <c r="F138" s="7">
        <v>0</v>
      </c>
      <c r="G138" s="7">
        <f t="shared" ref="G138" si="122">+F138</f>
        <v>0</v>
      </c>
      <c r="H138" s="7">
        <f t="shared" ref="H138:H139" si="123">+E138-G138</f>
        <v>0</v>
      </c>
      <c r="I138" s="29"/>
    </row>
    <row r="139" spans="1:9" x14ac:dyDescent="0.25">
      <c r="A139" s="10" t="s">
        <v>323</v>
      </c>
      <c r="B139" s="2" t="s">
        <v>324</v>
      </c>
      <c r="C139" s="7">
        <v>100000</v>
      </c>
      <c r="D139" s="7">
        <f>0-C139</f>
        <v>-100000</v>
      </c>
      <c r="E139" s="7">
        <f t="shared" si="121"/>
        <v>0</v>
      </c>
      <c r="F139" s="7">
        <v>0</v>
      </c>
      <c r="G139" s="7">
        <f t="shared" ref="G139" si="124">+F139</f>
        <v>0</v>
      </c>
      <c r="H139" s="7">
        <f t="shared" si="123"/>
        <v>0</v>
      </c>
      <c r="I139" s="29"/>
    </row>
    <row r="140" spans="1:9" s="3" customFormat="1" x14ac:dyDescent="0.25">
      <c r="A140" s="1">
        <v>4.7</v>
      </c>
      <c r="B140" s="3" t="s">
        <v>29</v>
      </c>
      <c r="C140" s="13">
        <f>+C141</f>
        <v>0</v>
      </c>
      <c r="D140" s="13">
        <f t="shared" ref="D140:H140" si="125">+D141</f>
        <v>0</v>
      </c>
      <c r="E140" s="13">
        <f>+E141</f>
        <v>0</v>
      </c>
      <c r="F140" s="13">
        <f t="shared" si="125"/>
        <v>0</v>
      </c>
      <c r="G140" s="13">
        <f t="shared" si="125"/>
        <v>0</v>
      </c>
      <c r="H140" s="35">
        <f t="shared" si="125"/>
        <v>0</v>
      </c>
      <c r="I140" s="29"/>
    </row>
    <row r="141" spans="1:9" x14ac:dyDescent="0.25">
      <c r="A141" s="10" t="s">
        <v>226</v>
      </c>
      <c r="B141" s="2" t="s">
        <v>227</v>
      </c>
      <c r="C141" s="7">
        <v>0</v>
      </c>
      <c r="D141" s="7">
        <f>0-C141</f>
        <v>0</v>
      </c>
      <c r="E141" s="7">
        <f t="shared" ref="E141" si="126">+C141+D141</f>
        <v>0</v>
      </c>
      <c r="F141" s="7">
        <v>0</v>
      </c>
      <c r="G141" s="7">
        <f t="shared" si="50"/>
        <v>0</v>
      </c>
      <c r="H141" s="33">
        <f>+E141-G141</f>
        <v>0</v>
      </c>
      <c r="I141" s="29"/>
    </row>
    <row r="142" spans="1:9" s="3" customFormat="1" x14ac:dyDescent="0.25">
      <c r="A142" s="5">
        <v>5</v>
      </c>
      <c r="B142" s="4" t="s">
        <v>30</v>
      </c>
      <c r="C142" s="6">
        <f>+C143+C148+C158+C163+C154+C152</f>
        <v>1150000</v>
      </c>
      <c r="D142" s="6">
        <f t="shared" ref="D142:H142" si="127">+D143+D148+D158+D163+D154+D152</f>
        <v>5742199.8500000006</v>
      </c>
      <c r="E142" s="6">
        <f t="shared" si="127"/>
        <v>6892199.8500000006</v>
      </c>
      <c r="F142" s="6">
        <f>+F143+F148+F158+F163+F154+F152</f>
        <v>6892199.8500000006</v>
      </c>
      <c r="G142" s="6">
        <f t="shared" si="127"/>
        <v>6892199.8500000006</v>
      </c>
      <c r="H142" s="36">
        <f t="shared" si="127"/>
        <v>0</v>
      </c>
      <c r="I142" s="29"/>
    </row>
    <row r="143" spans="1:9" s="3" customFormat="1" x14ac:dyDescent="0.25">
      <c r="A143" s="1">
        <v>5.0999999999999996</v>
      </c>
      <c r="B143" s="3" t="s">
        <v>31</v>
      </c>
      <c r="C143" s="13">
        <f>+C144+C146+C145+C147</f>
        <v>500000</v>
      </c>
      <c r="D143" s="13">
        <f t="shared" ref="D143:H143" si="128">+D144+D146+D145+D147</f>
        <v>805577.75</v>
      </c>
      <c r="E143" s="13">
        <f>+E144+E146+E145+E147</f>
        <v>1305577.75</v>
      </c>
      <c r="F143" s="13">
        <f>+F144+F146+F145+F147</f>
        <v>1305577.75</v>
      </c>
      <c r="G143" s="13">
        <f t="shared" si="128"/>
        <v>1305577.75</v>
      </c>
      <c r="H143" s="35">
        <f t="shared" si="128"/>
        <v>0</v>
      </c>
      <c r="I143" s="29"/>
    </row>
    <row r="144" spans="1:9" x14ac:dyDescent="0.25">
      <c r="A144" s="10" t="s">
        <v>228</v>
      </c>
      <c r="B144" s="2" t="s">
        <v>231</v>
      </c>
      <c r="C144" s="7">
        <v>200000</v>
      </c>
      <c r="D144" s="7">
        <f>115098.73-C144</f>
        <v>-84901.27</v>
      </c>
      <c r="E144" s="7">
        <f t="shared" ref="E144:E147" si="129">+C144+D144</f>
        <v>115098.73</v>
      </c>
      <c r="F144" s="7">
        <v>115098.73</v>
      </c>
      <c r="G144" s="7">
        <f t="shared" ref="G144:G146" si="130">+F144</f>
        <v>115098.73</v>
      </c>
      <c r="H144" s="33">
        <f t="shared" ref="H144:H151" si="131">+E144-G144</f>
        <v>0</v>
      </c>
      <c r="I144" s="29"/>
    </row>
    <row r="145" spans="1:9" x14ac:dyDescent="0.25">
      <c r="A145" s="10" t="s">
        <v>325</v>
      </c>
      <c r="B145" s="2" t="s">
        <v>326</v>
      </c>
      <c r="C145" s="7">
        <v>100000</v>
      </c>
      <c r="D145" s="7">
        <f>552922-C145</f>
        <v>452922</v>
      </c>
      <c r="E145" s="7">
        <f t="shared" ref="E145" si="132">+C145+D145</f>
        <v>552922</v>
      </c>
      <c r="F145" s="7">
        <v>552922</v>
      </c>
      <c r="G145" s="7">
        <f t="shared" ref="G145" si="133">+F145</f>
        <v>552922</v>
      </c>
      <c r="H145" s="7">
        <f t="shared" si="131"/>
        <v>0</v>
      </c>
      <c r="I145" s="29"/>
    </row>
    <row r="146" spans="1:9" x14ac:dyDescent="0.25">
      <c r="A146" s="10" t="s">
        <v>229</v>
      </c>
      <c r="B146" s="2" t="s">
        <v>232</v>
      </c>
      <c r="C146" s="7">
        <v>200000</v>
      </c>
      <c r="D146" s="7">
        <f>622268.22-C146</f>
        <v>422268.22</v>
      </c>
      <c r="E146" s="7">
        <f t="shared" si="129"/>
        <v>622268.22</v>
      </c>
      <c r="F146" s="7">
        <v>622268.22</v>
      </c>
      <c r="G146" s="7">
        <f t="shared" si="130"/>
        <v>622268.22</v>
      </c>
      <c r="H146" s="7">
        <f t="shared" si="131"/>
        <v>0</v>
      </c>
      <c r="I146" s="29"/>
    </row>
    <row r="147" spans="1:9" x14ac:dyDescent="0.25">
      <c r="A147" s="10" t="s">
        <v>230</v>
      </c>
      <c r="B147" s="2" t="s">
        <v>376</v>
      </c>
      <c r="C147" s="7">
        <v>0</v>
      </c>
      <c r="D147" s="7">
        <f>15288.8-C147</f>
        <v>15288.8</v>
      </c>
      <c r="E147" s="7">
        <f t="shared" si="129"/>
        <v>15288.8</v>
      </c>
      <c r="F147" s="7">
        <v>15288.8</v>
      </c>
      <c r="G147" s="7">
        <f t="shared" ref="G147" si="134">+F147</f>
        <v>15288.8</v>
      </c>
      <c r="H147" s="7">
        <f t="shared" si="131"/>
        <v>0</v>
      </c>
      <c r="I147" s="29"/>
    </row>
    <row r="148" spans="1:9" s="3" customFormat="1" x14ac:dyDescent="0.25">
      <c r="A148" s="1">
        <v>5.2</v>
      </c>
      <c r="B148" s="3" t="s">
        <v>52</v>
      </c>
      <c r="C148" s="13">
        <f t="shared" ref="C148:H148" si="135">+C149+C151+C150</f>
        <v>300000</v>
      </c>
      <c r="D148" s="13">
        <f t="shared" si="135"/>
        <v>30911.24000000002</v>
      </c>
      <c r="E148" s="13">
        <f t="shared" si="135"/>
        <v>330911.24</v>
      </c>
      <c r="F148" s="13">
        <f t="shared" si="135"/>
        <v>330911.24</v>
      </c>
      <c r="G148" s="13">
        <f t="shared" si="135"/>
        <v>330911.24</v>
      </c>
      <c r="H148" s="13">
        <f t="shared" si="135"/>
        <v>0</v>
      </c>
      <c r="I148" s="29"/>
    </row>
    <row r="149" spans="1:9" x14ac:dyDescent="0.25">
      <c r="A149" s="10" t="s">
        <v>233</v>
      </c>
      <c r="B149" s="2" t="s">
        <v>236</v>
      </c>
      <c r="C149" s="7">
        <v>150000</v>
      </c>
      <c r="D149" s="7">
        <f>15260.96-C149</f>
        <v>-134739.04</v>
      </c>
      <c r="E149" s="7">
        <f>+C149+D149</f>
        <v>15260.959999999992</v>
      </c>
      <c r="F149" s="7">
        <v>15260.96</v>
      </c>
      <c r="G149" s="7">
        <f t="shared" ref="G149:G151" si="136">+F149</f>
        <v>15260.96</v>
      </c>
      <c r="H149" s="7">
        <f>+E149-G149</f>
        <v>0</v>
      </c>
      <c r="I149" s="29"/>
    </row>
    <row r="150" spans="1:9" x14ac:dyDescent="0.25">
      <c r="A150" s="10" t="s">
        <v>234</v>
      </c>
      <c r="B150" s="2" t="s">
        <v>237</v>
      </c>
      <c r="C150" s="7">
        <v>0</v>
      </c>
      <c r="D150" s="7">
        <v>239287.48</v>
      </c>
      <c r="E150" s="7">
        <f t="shared" ref="E150:E151" si="137">+C150+D150</f>
        <v>239287.48</v>
      </c>
      <c r="F150" s="7">
        <v>239287.48</v>
      </c>
      <c r="G150" s="7">
        <f t="shared" ref="G150" si="138">+F150</f>
        <v>239287.48</v>
      </c>
      <c r="H150" s="7">
        <f t="shared" si="131"/>
        <v>0</v>
      </c>
      <c r="I150" s="29"/>
    </row>
    <row r="151" spans="1:9" x14ac:dyDescent="0.25">
      <c r="A151" s="10" t="s">
        <v>235</v>
      </c>
      <c r="B151" s="2" t="s">
        <v>238</v>
      </c>
      <c r="C151" s="7">
        <v>150000</v>
      </c>
      <c r="D151" s="7">
        <f>76362.8-C151</f>
        <v>-73637.2</v>
      </c>
      <c r="E151" s="7">
        <f t="shared" si="137"/>
        <v>76362.8</v>
      </c>
      <c r="F151" s="7">
        <v>76362.8</v>
      </c>
      <c r="G151" s="7">
        <f t="shared" si="136"/>
        <v>76362.8</v>
      </c>
      <c r="H151" s="7">
        <f t="shared" si="131"/>
        <v>0</v>
      </c>
      <c r="I151" s="29"/>
    </row>
    <row r="152" spans="1:9" s="3" customFormat="1" x14ac:dyDescent="0.25">
      <c r="A152" s="1" t="s">
        <v>387</v>
      </c>
      <c r="B152" s="3" t="s">
        <v>416</v>
      </c>
      <c r="C152" s="13">
        <f>+C153</f>
        <v>0</v>
      </c>
      <c r="D152" s="13">
        <f t="shared" ref="D152:G152" si="139">+D153</f>
        <v>19494.96</v>
      </c>
      <c r="E152" s="13">
        <f t="shared" si="139"/>
        <v>19494.96</v>
      </c>
      <c r="F152" s="13">
        <f>+F153</f>
        <v>19494.96</v>
      </c>
      <c r="G152" s="13">
        <f t="shared" si="139"/>
        <v>19494.96</v>
      </c>
      <c r="H152" s="13">
        <f>+H153</f>
        <v>0</v>
      </c>
      <c r="I152" s="29"/>
    </row>
    <row r="153" spans="1:9" x14ac:dyDescent="0.25">
      <c r="A153" s="10" t="s">
        <v>388</v>
      </c>
      <c r="B153" s="2" t="s">
        <v>389</v>
      </c>
      <c r="C153" s="7">
        <v>0</v>
      </c>
      <c r="D153" s="7">
        <v>19494.96</v>
      </c>
      <c r="E153" s="7">
        <f t="shared" ref="E153" si="140">+C153+D153</f>
        <v>19494.96</v>
      </c>
      <c r="F153" s="7">
        <v>19494.96</v>
      </c>
      <c r="G153" s="7">
        <f t="shared" ref="G153" si="141">+F153</f>
        <v>19494.96</v>
      </c>
      <c r="H153" s="7">
        <f>+E153-G153</f>
        <v>0</v>
      </c>
      <c r="I153" s="29"/>
    </row>
    <row r="154" spans="1:9" s="3" customFormat="1" x14ac:dyDescent="0.25">
      <c r="A154" s="1" t="s">
        <v>377</v>
      </c>
      <c r="B154" s="3" t="s">
        <v>240</v>
      </c>
      <c r="C154" s="13">
        <f>+C155+C156+C157</f>
        <v>0</v>
      </c>
      <c r="D154" s="13">
        <f t="shared" ref="D154:G154" si="142">+D155+D156+D157</f>
        <v>3382288</v>
      </c>
      <c r="E154" s="13">
        <f t="shared" si="142"/>
        <v>3382288</v>
      </c>
      <c r="F154" s="13">
        <f t="shared" si="142"/>
        <v>3382288</v>
      </c>
      <c r="G154" s="13">
        <f t="shared" si="142"/>
        <v>3382288</v>
      </c>
      <c r="H154" s="13">
        <f>+H155+H156+H157</f>
        <v>0</v>
      </c>
      <c r="I154" s="29"/>
    </row>
    <row r="155" spans="1:9" x14ac:dyDescent="0.25">
      <c r="A155" s="10" t="s">
        <v>239</v>
      </c>
      <c r="B155" s="2" t="s">
        <v>240</v>
      </c>
      <c r="C155" s="7">
        <v>0</v>
      </c>
      <c r="D155" s="7">
        <v>3188608</v>
      </c>
      <c r="E155" s="7">
        <f t="shared" ref="E155" si="143">+C155+D155</f>
        <v>3188608</v>
      </c>
      <c r="F155" s="7">
        <v>3188608</v>
      </c>
      <c r="G155" s="7">
        <f t="shared" ref="G155" si="144">+F155</f>
        <v>3188608</v>
      </c>
      <c r="H155" s="7">
        <f t="shared" ref="H155:H156" si="145">+E155-G155</f>
        <v>0</v>
      </c>
      <c r="I155" s="29"/>
    </row>
    <row r="156" spans="1:9" x14ac:dyDescent="0.25">
      <c r="A156" s="10" t="s">
        <v>378</v>
      </c>
      <c r="B156" s="2" t="s">
        <v>379</v>
      </c>
      <c r="C156" s="7">
        <v>0</v>
      </c>
      <c r="D156" s="7">
        <v>69000</v>
      </c>
      <c r="E156" s="7">
        <f t="shared" ref="E156" si="146">+C156+D156</f>
        <v>69000</v>
      </c>
      <c r="F156" s="7">
        <v>69000</v>
      </c>
      <c r="G156" s="7">
        <f t="shared" ref="G156" si="147">+F156</f>
        <v>69000</v>
      </c>
      <c r="H156" s="7">
        <f t="shared" si="145"/>
        <v>0</v>
      </c>
      <c r="I156" s="29"/>
    </row>
    <row r="157" spans="1:9" x14ac:dyDescent="0.25">
      <c r="A157" s="10" t="s">
        <v>392</v>
      </c>
      <c r="B157" s="2" t="s">
        <v>393</v>
      </c>
      <c r="C157" s="7">
        <v>0</v>
      </c>
      <c r="D157" s="7">
        <v>124680</v>
      </c>
      <c r="E157" s="7">
        <f t="shared" ref="E157" si="148">+C157+D157</f>
        <v>124680</v>
      </c>
      <c r="F157" s="7">
        <v>124680</v>
      </c>
      <c r="G157" s="7">
        <f t="shared" ref="G157" si="149">+F157</f>
        <v>124680</v>
      </c>
      <c r="H157" s="7">
        <f>+E157-G157</f>
        <v>0</v>
      </c>
      <c r="I157" s="29"/>
    </row>
    <row r="158" spans="1:9" s="3" customFormat="1" x14ac:dyDescent="0.25">
      <c r="A158" s="1">
        <v>5.6</v>
      </c>
      <c r="B158" s="3" t="s">
        <v>33</v>
      </c>
      <c r="C158" s="13">
        <f>+C161+C162+C160+C159</f>
        <v>150000</v>
      </c>
      <c r="D158" s="13">
        <f t="shared" ref="D158:H158" si="150">+D161+D162+D160+D159</f>
        <v>1584619.92</v>
      </c>
      <c r="E158" s="13">
        <f t="shared" si="150"/>
        <v>1734619.92</v>
      </c>
      <c r="F158" s="13">
        <f t="shared" si="150"/>
        <v>1734619.92</v>
      </c>
      <c r="G158" s="13">
        <f t="shared" si="150"/>
        <v>1734619.92</v>
      </c>
      <c r="H158" s="13">
        <f t="shared" si="150"/>
        <v>0</v>
      </c>
      <c r="I158" s="29"/>
    </row>
    <row r="159" spans="1:9" x14ac:dyDescent="0.25">
      <c r="A159" s="10" t="s">
        <v>241</v>
      </c>
      <c r="B159" s="2" t="s">
        <v>244</v>
      </c>
      <c r="C159" s="7">
        <v>0</v>
      </c>
      <c r="D159" s="7">
        <v>58591.6</v>
      </c>
      <c r="E159" s="7">
        <f t="shared" ref="E159" si="151">+C159+D159</f>
        <v>58591.6</v>
      </c>
      <c r="F159" s="7">
        <v>58591.6</v>
      </c>
      <c r="G159" s="7">
        <f t="shared" ref="G159" si="152">+F159</f>
        <v>58591.6</v>
      </c>
      <c r="H159" s="7">
        <f t="shared" ref="H159:H162" si="153">+E159-G159</f>
        <v>0</v>
      </c>
      <c r="I159" s="29"/>
    </row>
    <row r="160" spans="1:9" x14ac:dyDescent="0.25">
      <c r="A160" s="10" t="s">
        <v>327</v>
      </c>
      <c r="B160" s="2" t="s">
        <v>328</v>
      </c>
      <c r="C160" s="7">
        <v>50000</v>
      </c>
      <c r="D160" s="7">
        <f>0-C160</f>
        <v>-50000</v>
      </c>
      <c r="E160" s="7">
        <f t="shared" ref="E160" si="154">+C160+D160</f>
        <v>0</v>
      </c>
      <c r="F160" s="7">
        <v>0</v>
      </c>
      <c r="G160" s="7">
        <f t="shared" ref="G160" si="155">+F160</f>
        <v>0</v>
      </c>
      <c r="H160" s="7">
        <f t="shared" si="153"/>
        <v>0</v>
      </c>
      <c r="I160" s="29"/>
    </row>
    <row r="161" spans="1:9" x14ac:dyDescent="0.25">
      <c r="A161" s="10" t="s">
        <v>242</v>
      </c>
      <c r="B161" s="2" t="s">
        <v>245</v>
      </c>
      <c r="C161" s="7">
        <v>50000</v>
      </c>
      <c r="D161" s="7">
        <f>92327.93-C161</f>
        <v>42327.929999999993</v>
      </c>
      <c r="E161" s="7">
        <f t="shared" ref="E161:E162" si="156">+C161+D161</f>
        <v>92327.93</v>
      </c>
      <c r="F161" s="7">
        <v>92327.93</v>
      </c>
      <c r="G161" s="7">
        <f t="shared" ref="G161:G162" si="157">+F161</f>
        <v>92327.93</v>
      </c>
      <c r="H161" s="7">
        <f t="shared" si="153"/>
        <v>0</v>
      </c>
      <c r="I161" s="29"/>
    </row>
    <row r="162" spans="1:9" x14ac:dyDescent="0.25">
      <c r="A162" s="10" t="s">
        <v>243</v>
      </c>
      <c r="B162" s="2" t="s">
        <v>246</v>
      </c>
      <c r="C162" s="7">
        <v>50000</v>
      </c>
      <c r="D162" s="7">
        <f>1583700.39-C162</f>
        <v>1533700.39</v>
      </c>
      <c r="E162" s="7">
        <f t="shared" si="156"/>
        <v>1583700.39</v>
      </c>
      <c r="F162" s="7">
        <v>1583700.39</v>
      </c>
      <c r="G162" s="7">
        <f t="shared" si="157"/>
        <v>1583700.39</v>
      </c>
      <c r="H162" s="7">
        <f t="shared" si="153"/>
        <v>0</v>
      </c>
      <c r="I162" s="29"/>
    </row>
    <row r="163" spans="1:9" s="3" customFormat="1" x14ac:dyDescent="0.25">
      <c r="A163" s="1">
        <v>5.9</v>
      </c>
      <c r="B163" s="3" t="s">
        <v>34</v>
      </c>
      <c r="C163" s="13">
        <f>+C164</f>
        <v>200000</v>
      </c>
      <c r="D163" s="13">
        <f t="shared" ref="D163:H163" si="158">+D164</f>
        <v>-80692.02</v>
      </c>
      <c r="E163" s="13">
        <f>+E164</f>
        <v>119307.98</v>
      </c>
      <c r="F163" s="13">
        <f t="shared" si="158"/>
        <v>119307.98</v>
      </c>
      <c r="G163" s="13">
        <f t="shared" si="158"/>
        <v>119307.98</v>
      </c>
      <c r="H163" s="13">
        <f t="shared" si="158"/>
        <v>0</v>
      </c>
      <c r="I163" s="29"/>
    </row>
    <row r="164" spans="1:9" x14ac:dyDescent="0.25">
      <c r="A164" s="10" t="s">
        <v>247</v>
      </c>
      <c r="B164" s="2" t="s">
        <v>248</v>
      </c>
      <c r="C164" s="7">
        <v>200000</v>
      </c>
      <c r="D164" s="7">
        <f>119307.98-C164</f>
        <v>-80692.02</v>
      </c>
      <c r="E164" s="7">
        <f t="shared" ref="E164" si="159">+C164+D164</f>
        <v>119307.98</v>
      </c>
      <c r="F164" s="7">
        <v>119307.98</v>
      </c>
      <c r="G164" s="7">
        <f t="shared" ref="G164" si="160">+F164</f>
        <v>119307.98</v>
      </c>
      <c r="H164" s="7">
        <f>+E164-F164</f>
        <v>0</v>
      </c>
      <c r="I164" s="29"/>
    </row>
    <row r="165" spans="1:9" x14ac:dyDescent="0.25">
      <c r="A165" s="5">
        <v>6</v>
      </c>
      <c r="B165" s="4" t="s">
        <v>35</v>
      </c>
      <c r="C165" s="6">
        <f>+C166</f>
        <v>19124779.120000001</v>
      </c>
      <c r="D165" s="6">
        <f t="shared" ref="D165:H165" si="161">+D166</f>
        <v>-16265192.489999998</v>
      </c>
      <c r="E165" s="6">
        <f>+E166</f>
        <v>2859586.63</v>
      </c>
      <c r="F165" s="6">
        <f t="shared" si="161"/>
        <v>2859586.63</v>
      </c>
      <c r="G165" s="6">
        <f t="shared" si="161"/>
        <v>2618868.6599999997</v>
      </c>
      <c r="H165" s="6">
        <f t="shared" si="161"/>
        <v>0</v>
      </c>
      <c r="I165" s="29"/>
    </row>
    <row r="166" spans="1:9" s="3" customFormat="1" x14ac:dyDescent="0.25">
      <c r="A166" s="1">
        <v>6.1</v>
      </c>
      <c r="B166" s="3" t="s">
        <v>53</v>
      </c>
      <c r="C166" s="13">
        <f>C169+C170+C167+C172+C168+C171</f>
        <v>19124779.120000001</v>
      </c>
      <c r="D166" s="13">
        <f t="shared" ref="D166:H166" si="162">D169+D170+D167+D172+D168+D171</f>
        <v>-16265192.489999998</v>
      </c>
      <c r="E166" s="13">
        <f t="shared" si="162"/>
        <v>2859586.63</v>
      </c>
      <c r="F166" s="13">
        <f>F169+F170+F167+F172+F168+F171</f>
        <v>2859586.63</v>
      </c>
      <c r="G166" s="13">
        <f t="shared" si="162"/>
        <v>2618868.6599999997</v>
      </c>
      <c r="H166" s="13">
        <f t="shared" si="162"/>
        <v>0</v>
      </c>
      <c r="I166" s="29"/>
    </row>
    <row r="167" spans="1:9" x14ac:dyDescent="0.25">
      <c r="A167" s="10" t="s">
        <v>249</v>
      </c>
      <c r="B167" s="2" t="s">
        <v>262</v>
      </c>
      <c r="C167" s="7">
        <v>0</v>
      </c>
      <c r="D167" s="7">
        <v>0</v>
      </c>
      <c r="E167" s="7">
        <f>+C167+D167</f>
        <v>0</v>
      </c>
      <c r="F167" s="7">
        <v>0</v>
      </c>
      <c r="G167" s="7">
        <f>+F167</f>
        <v>0</v>
      </c>
      <c r="H167" s="7">
        <f t="shared" ref="H167:H172" si="163">++E167-F167</f>
        <v>0</v>
      </c>
      <c r="I167" s="29"/>
    </row>
    <row r="168" spans="1:9" x14ac:dyDescent="0.25">
      <c r="A168" s="10" t="s">
        <v>250</v>
      </c>
      <c r="B168" s="2" t="s">
        <v>276</v>
      </c>
      <c r="C168" s="7">
        <v>3500000</v>
      </c>
      <c r="D168" s="7">
        <f>0-C168</f>
        <v>-3500000</v>
      </c>
      <c r="E168" s="7">
        <f>+C168+D168</f>
        <v>0</v>
      </c>
      <c r="F168" s="7">
        <v>0</v>
      </c>
      <c r="G168" s="7">
        <f t="shared" ref="G168" si="164">+F168</f>
        <v>0</v>
      </c>
      <c r="H168" s="7">
        <f t="shared" si="163"/>
        <v>0</v>
      </c>
      <c r="I168" s="29"/>
    </row>
    <row r="169" spans="1:9" x14ac:dyDescent="0.25">
      <c r="A169" s="10" t="s">
        <v>251</v>
      </c>
      <c r="B169" s="2" t="s">
        <v>255</v>
      </c>
      <c r="C169" s="7">
        <v>2384779.12</v>
      </c>
      <c r="D169" s="7">
        <f>457356.71-C169</f>
        <v>-1927422.4100000001</v>
      </c>
      <c r="E169" s="7">
        <f>+C169+D169</f>
        <v>457356.70999999996</v>
      </c>
      <c r="F169" s="7">
        <v>457356.71</v>
      </c>
      <c r="G169" s="7">
        <v>237800</v>
      </c>
      <c r="H169" s="7">
        <f t="shared" si="163"/>
        <v>0</v>
      </c>
      <c r="I169" s="29"/>
    </row>
    <row r="170" spans="1:9" x14ac:dyDescent="0.25">
      <c r="A170" s="10" t="s">
        <v>252</v>
      </c>
      <c r="B170" s="2" t="s">
        <v>256</v>
      </c>
      <c r="C170" s="7">
        <v>10240000</v>
      </c>
      <c r="D170" s="7">
        <f>1908595.71-C170</f>
        <v>-8331404.29</v>
      </c>
      <c r="E170" s="7">
        <f t="shared" ref="E170:E172" si="165">+C170+D170</f>
        <v>1908595.71</v>
      </c>
      <c r="F170" s="7">
        <v>1908595.71</v>
      </c>
      <c r="G170" s="7">
        <v>1892142.3</v>
      </c>
      <c r="H170" s="7">
        <f t="shared" si="163"/>
        <v>0</v>
      </c>
      <c r="I170" s="29"/>
    </row>
    <row r="171" spans="1:9" x14ac:dyDescent="0.25">
      <c r="A171" s="10" t="s">
        <v>278</v>
      </c>
      <c r="B171" s="2" t="s">
        <v>329</v>
      </c>
      <c r="C171" s="7">
        <v>3000000</v>
      </c>
      <c r="D171" s="7">
        <f>0-C171</f>
        <v>-3000000</v>
      </c>
      <c r="E171" s="7">
        <f t="shared" ref="E171" si="166">+C171+D171</f>
        <v>0</v>
      </c>
      <c r="F171" s="7">
        <v>0</v>
      </c>
      <c r="G171" s="7">
        <f t="shared" ref="G171" si="167">+F171</f>
        <v>0</v>
      </c>
      <c r="H171" s="7">
        <f t="shared" si="163"/>
        <v>0</v>
      </c>
      <c r="I171" s="29"/>
    </row>
    <row r="172" spans="1:9" x14ac:dyDescent="0.25">
      <c r="A172" s="10" t="s">
        <v>253</v>
      </c>
      <c r="B172" s="2" t="s">
        <v>263</v>
      </c>
      <c r="C172" s="7">
        <v>0</v>
      </c>
      <c r="D172" s="7">
        <v>493634.21</v>
      </c>
      <c r="E172" s="7">
        <f t="shared" si="165"/>
        <v>493634.21</v>
      </c>
      <c r="F172" s="7">
        <v>493634.21</v>
      </c>
      <c r="G172" s="7">
        <v>488926.36</v>
      </c>
      <c r="H172" s="7">
        <f t="shared" si="163"/>
        <v>0</v>
      </c>
      <c r="I172" s="29"/>
    </row>
    <row r="173" spans="1:9" x14ac:dyDescent="0.25">
      <c r="A173" s="5">
        <v>8</v>
      </c>
      <c r="B173" s="4" t="s">
        <v>36</v>
      </c>
      <c r="C173" s="6">
        <f>+C174</f>
        <v>2500000</v>
      </c>
      <c r="D173" s="6">
        <f t="shared" ref="D173:H174" si="168">+D174</f>
        <v>509420.79999999981</v>
      </c>
      <c r="E173" s="6">
        <f>+E174</f>
        <v>3009420.8</v>
      </c>
      <c r="F173" s="6">
        <f t="shared" si="168"/>
        <v>3009420.8</v>
      </c>
      <c r="G173" s="6">
        <f t="shared" si="168"/>
        <v>3009420.8</v>
      </c>
      <c r="H173" s="6">
        <f t="shared" si="168"/>
        <v>0</v>
      </c>
      <c r="I173" s="29"/>
    </row>
    <row r="174" spans="1:9" s="3" customFormat="1" x14ac:dyDescent="0.25">
      <c r="A174" s="1">
        <v>8.5</v>
      </c>
      <c r="B174" s="3" t="s">
        <v>37</v>
      </c>
      <c r="C174" s="13">
        <f>+C175</f>
        <v>2500000</v>
      </c>
      <c r="D174" s="13">
        <f t="shared" si="168"/>
        <v>509420.79999999981</v>
      </c>
      <c r="E174" s="13">
        <f>+E175</f>
        <v>3009420.8</v>
      </c>
      <c r="F174" s="13">
        <f t="shared" si="168"/>
        <v>3009420.8</v>
      </c>
      <c r="G174" s="13">
        <f t="shared" si="168"/>
        <v>3009420.8</v>
      </c>
      <c r="H174" s="13">
        <f t="shared" si="168"/>
        <v>0</v>
      </c>
      <c r="I174" s="29"/>
    </row>
    <row r="175" spans="1:9" x14ac:dyDescent="0.25">
      <c r="A175" s="10" t="s">
        <v>259</v>
      </c>
      <c r="B175" s="2" t="s">
        <v>260</v>
      </c>
      <c r="C175" s="7">
        <v>2500000</v>
      </c>
      <c r="D175" s="7">
        <f>3009420.8-C175</f>
        <v>509420.79999999981</v>
      </c>
      <c r="E175" s="7">
        <f t="shared" ref="E175" si="169">+C175+D175</f>
        <v>3009420.8</v>
      </c>
      <c r="F175" s="7">
        <v>3009420.8</v>
      </c>
      <c r="G175" s="7">
        <f t="shared" ref="G175" si="170">+F175</f>
        <v>3009420.8</v>
      </c>
      <c r="H175" s="7">
        <f>+E175-G175</f>
        <v>0</v>
      </c>
      <c r="I175" s="29"/>
    </row>
    <row r="176" spans="1:9" x14ac:dyDescent="0.25">
      <c r="A176" s="22"/>
      <c r="C176" s="7"/>
      <c r="D176" s="7"/>
      <c r="E176" s="7"/>
      <c r="F176" s="7"/>
      <c r="G176" s="7"/>
      <c r="H176" s="7"/>
    </row>
    <row r="177" spans="1:10" s="17" customFormat="1" ht="15.75" x14ac:dyDescent="0.25">
      <c r="A177" s="14" t="s">
        <v>54</v>
      </c>
      <c r="B177" s="15"/>
      <c r="C177" s="16">
        <f>+C178+C195+C202+C208</f>
        <v>62896148</v>
      </c>
      <c r="D177" s="16">
        <f t="shared" ref="D177:G177" si="171">+D178+D195+D202+D208</f>
        <v>12366212.989999995</v>
      </c>
      <c r="E177" s="16">
        <f t="shared" si="171"/>
        <v>75447703.979999989</v>
      </c>
      <c r="F177" s="16">
        <f t="shared" si="171"/>
        <v>72138216.179999992</v>
      </c>
      <c r="G177" s="16">
        <f t="shared" si="171"/>
        <v>72138216.179999992</v>
      </c>
      <c r="H177" s="16">
        <f>+H178+H195+H202+H208</f>
        <v>3309487.8</v>
      </c>
      <c r="I177" s="18"/>
      <c r="J177" s="18"/>
    </row>
    <row r="178" spans="1:10" ht="15.75" x14ac:dyDescent="0.25">
      <c r="A178" s="5">
        <v>1</v>
      </c>
      <c r="B178" s="4" t="s">
        <v>12</v>
      </c>
      <c r="C178" s="6">
        <f>+C179+C184+C190+C182+C193</f>
        <v>51546764.399999999</v>
      </c>
      <c r="D178" s="6">
        <f t="shared" ref="D178:H178" si="172">+D179+D184+D190+D182+D193</f>
        <v>7845414.219999996</v>
      </c>
      <c r="E178" s="6">
        <f t="shared" si="172"/>
        <v>59577521.609999999</v>
      </c>
      <c r="F178" s="6">
        <f>+F179+F184+F190+F182+F193</f>
        <v>59577521.609999999</v>
      </c>
      <c r="G178" s="6">
        <f t="shared" si="172"/>
        <v>59577521.609999999</v>
      </c>
      <c r="H178" s="6">
        <f t="shared" si="172"/>
        <v>0</v>
      </c>
      <c r="I178" s="18"/>
    </row>
    <row r="179" spans="1:10" s="3" customFormat="1" ht="15.75" x14ac:dyDescent="0.25">
      <c r="A179" s="1">
        <v>1.1000000000000001</v>
      </c>
      <c r="B179" s="3" t="s">
        <v>39</v>
      </c>
      <c r="C179" s="13">
        <f>+C180+C181</f>
        <v>50277977.990000002</v>
      </c>
      <c r="D179" s="13">
        <f t="shared" ref="D179:H179" si="173">+D180+D181</f>
        <v>3168672.1599999964</v>
      </c>
      <c r="E179" s="13">
        <f t="shared" si="173"/>
        <v>53446650.149999999</v>
      </c>
      <c r="F179" s="13">
        <f t="shared" si="173"/>
        <v>53446650.149999999</v>
      </c>
      <c r="G179" s="13">
        <f t="shared" si="173"/>
        <v>53446650.149999999</v>
      </c>
      <c r="H179" s="13">
        <f t="shared" si="173"/>
        <v>0</v>
      </c>
      <c r="I179" s="18"/>
    </row>
    <row r="180" spans="1:10" ht="15.75" x14ac:dyDescent="0.25">
      <c r="A180" s="10" t="s">
        <v>68</v>
      </c>
      <c r="B180" s="2" t="s">
        <v>69</v>
      </c>
      <c r="C180" s="7">
        <v>0</v>
      </c>
      <c r="D180" s="7">
        <v>0</v>
      </c>
      <c r="E180" s="7">
        <f>+C180+D180</f>
        <v>0</v>
      </c>
      <c r="F180" s="7">
        <v>0</v>
      </c>
      <c r="G180" s="7">
        <f>+F180</f>
        <v>0</v>
      </c>
      <c r="H180" s="7">
        <f>+E180-F180</f>
        <v>0</v>
      </c>
      <c r="I180" s="18"/>
    </row>
    <row r="181" spans="1:10" ht="15.75" x14ac:dyDescent="0.25">
      <c r="A181" s="10" t="s">
        <v>70</v>
      </c>
      <c r="B181" s="2" t="s">
        <v>71</v>
      </c>
      <c r="C181" s="7">
        <v>50277977.990000002</v>
      </c>
      <c r="D181" s="7">
        <f>53446650.15-C181</f>
        <v>3168672.1599999964</v>
      </c>
      <c r="E181" s="7">
        <f>+C181+D181</f>
        <v>53446650.149999999</v>
      </c>
      <c r="F181" s="7">
        <v>53446650.149999999</v>
      </c>
      <c r="G181" s="7">
        <f>+F181</f>
        <v>53446650.149999999</v>
      </c>
      <c r="H181" s="7">
        <f>+E181-F181</f>
        <v>0</v>
      </c>
      <c r="I181" s="18"/>
    </row>
    <row r="182" spans="1:10" s="3" customFormat="1" ht="15.75" x14ac:dyDescent="0.25">
      <c r="A182" s="1">
        <v>1.2</v>
      </c>
      <c r="B182" s="3" t="s">
        <v>40</v>
      </c>
      <c r="C182" s="13">
        <f>+C183</f>
        <v>0</v>
      </c>
      <c r="D182" s="13">
        <f t="shared" ref="D182:H182" si="174">+D183</f>
        <v>3127471.71</v>
      </c>
      <c r="E182" s="13">
        <f>+E183</f>
        <v>3127471.71</v>
      </c>
      <c r="F182" s="13">
        <f t="shared" si="174"/>
        <v>3127471.71</v>
      </c>
      <c r="G182" s="13">
        <f t="shared" si="174"/>
        <v>3127471.71</v>
      </c>
      <c r="H182" s="13">
        <f t="shared" si="174"/>
        <v>0</v>
      </c>
      <c r="I182" s="18"/>
    </row>
    <row r="183" spans="1:10" ht="15.75" x14ac:dyDescent="0.25">
      <c r="A183" s="10" t="s">
        <v>74</v>
      </c>
      <c r="B183" s="2" t="s">
        <v>75</v>
      </c>
      <c r="C183" s="7">
        <v>0</v>
      </c>
      <c r="D183" s="7">
        <v>3127471.71</v>
      </c>
      <c r="E183" s="7">
        <f>+C183+D183</f>
        <v>3127471.71</v>
      </c>
      <c r="F183" s="7">
        <v>3127471.71</v>
      </c>
      <c r="G183" s="7">
        <f>+F183</f>
        <v>3127471.71</v>
      </c>
      <c r="H183" s="7">
        <f>+E183-F183</f>
        <v>0</v>
      </c>
      <c r="I183" s="18"/>
    </row>
    <row r="184" spans="1:10" s="3" customFormat="1" ht="15.75" x14ac:dyDescent="0.25">
      <c r="A184" s="1">
        <v>1.3</v>
      </c>
      <c r="B184" s="3" t="s">
        <v>13</v>
      </c>
      <c r="C184" s="13">
        <f>+C185+C188+C189</f>
        <v>1096589.01</v>
      </c>
      <c r="D184" s="13">
        <f t="shared" ref="D184:H184" si="175">+D185+D188+D189</f>
        <v>665667.75</v>
      </c>
      <c r="E184" s="13">
        <f t="shared" si="175"/>
        <v>1947599.75</v>
      </c>
      <c r="F184" s="13">
        <f>+F185+F188+F189</f>
        <v>1947599.75</v>
      </c>
      <c r="G184" s="13">
        <f t="shared" si="175"/>
        <v>1947599.75</v>
      </c>
      <c r="H184" s="13">
        <f t="shared" si="175"/>
        <v>0</v>
      </c>
      <c r="I184" s="18"/>
    </row>
    <row r="185" spans="1:10" ht="15.75" x14ac:dyDescent="0.25">
      <c r="A185" s="10" t="s">
        <v>76</v>
      </c>
      <c r="B185" s="2" t="s">
        <v>77</v>
      </c>
      <c r="C185" s="7">
        <f>+C186+C187</f>
        <v>1096589.01</v>
      </c>
      <c r="D185" s="7">
        <v>0</v>
      </c>
      <c r="E185" s="7">
        <f>+E186+E187</f>
        <v>1281932</v>
      </c>
      <c r="F185" s="7">
        <f t="shared" ref="F185:H185" si="176">+F186+F187</f>
        <v>1281932</v>
      </c>
      <c r="G185" s="7">
        <f t="shared" si="176"/>
        <v>1281932</v>
      </c>
      <c r="H185" s="7">
        <f t="shared" si="176"/>
        <v>0</v>
      </c>
      <c r="I185" s="18"/>
    </row>
    <row r="186" spans="1:10" ht="15.75" x14ac:dyDescent="0.25">
      <c r="A186" s="10" t="s">
        <v>80</v>
      </c>
      <c r="B186" s="2" t="s">
        <v>78</v>
      </c>
      <c r="C186" s="7">
        <v>10360.469999999999</v>
      </c>
      <c r="D186" s="7">
        <f>1281932-C186</f>
        <v>1271571.53</v>
      </c>
      <c r="E186" s="7">
        <f>+C186+D186</f>
        <v>1281932</v>
      </c>
      <c r="F186" s="7">
        <v>1281932</v>
      </c>
      <c r="G186" s="7">
        <f>+F186</f>
        <v>1281932</v>
      </c>
      <c r="H186" s="7">
        <f>+E186-F186</f>
        <v>0</v>
      </c>
      <c r="I186" s="18"/>
    </row>
    <row r="187" spans="1:10" ht="15.75" x14ac:dyDescent="0.25">
      <c r="A187" s="10" t="s">
        <v>81</v>
      </c>
      <c r="B187" s="2" t="s">
        <v>274</v>
      </c>
      <c r="C187" s="7">
        <v>1086228.54</v>
      </c>
      <c r="D187" s="7">
        <f>0-C187</f>
        <v>-1086228.54</v>
      </c>
      <c r="E187" s="7">
        <f>+C187+D187</f>
        <v>0</v>
      </c>
      <c r="F187" s="7">
        <v>0</v>
      </c>
      <c r="G187" s="7">
        <f>+F187</f>
        <v>0</v>
      </c>
      <c r="H187" s="7">
        <f>+E187-F187</f>
        <v>0</v>
      </c>
      <c r="I187" s="18"/>
    </row>
    <row r="188" spans="1:10" ht="15.75" x14ac:dyDescent="0.25">
      <c r="A188" s="10" t="s">
        <v>82</v>
      </c>
      <c r="B188" s="2" t="s">
        <v>83</v>
      </c>
      <c r="C188" s="7">
        <v>0</v>
      </c>
      <c r="D188" s="7">
        <v>545275.75</v>
      </c>
      <c r="E188" s="7">
        <f>+C188+D188</f>
        <v>545275.75</v>
      </c>
      <c r="F188" s="7">
        <v>545275.75</v>
      </c>
      <c r="G188" s="7">
        <f>+F188</f>
        <v>545275.75</v>
      </c>
      <c r="H188" s="7">
        <f>+E188-F188</f>
        <v>0</v>
      </c>
      <c r="I188" s="18"/>
    </row>
    <row r="189" spans="1:10" ht="15.75" x14ac:dyDescent="0.25">
      <c r="A189" s="10" t="s">
        <v>84</v>
      </c>
      <c r="B189" s="2" t="s">
        <v>85</v>
      </c>
      <c r="C189" s="7">
        <v>0</v>
      </c>
      <c r="D189" s="7">
        <v>120392</v>
      </c>
      <c r="E189" s="7">
        <f>+C189+D189</f>
        <v>120392</v>
      </c>
      <c r="F189" s="7">
        <v>120392</v>
      </c>
      <c r="G189" s="7">
        <f>+F189</f>
        <v>120392</v>
      </c>
      <c r="H189" s="7">
        <f>+E189-F189</f>
        <v>0</v>
      </c>
      <c r="I189" s="18"/>
    </row>
    <row r="190" spans="1:10" s="3" customFormat="1" ht="15.75" x14ac:dyDescent="0.25">
      <c r="A190" s="1">
        <v>1.5</v>
      </c>
      <c r="B190" s="3" t="s">
        <v>15</v>
      </c>
      <c r="C190" s="13">
        <f>+C192+C191</f>
        <v>0</v>
      </c>
      <c r="D190" s="13">
        <f t="shared" ref="D190:H190" si="177">+D192+D191</f>
        <v>1055800</v>
      </c>
      <c r="E190" s="13">
        <f t="shared" si="177"/>
        <v>1055800</v>
      </c>
      <c r="F190" s="13">
        <f>+F192+F191</f>
        <v>1055800</v>
      </c>
      <c r="G190" s="13">
        <f t="shared" si="177"/>
        <v>1055800</v>
      </c>
      <c r="H190" s="13">
        <f t="shared" si="177"/>
        <v>0</v>
      </c>
      <c r="I190" s="18"/>
    </row>
    <row r="191" spans="1:10" ht="15.75" x14ac:dyDescent="0.25">
      <c r="A191" s="10" t="s">
        <v>88</v>
      </c>
      <c r="B191" s="2" t="s">
        <v>89</v>
      </c>
      <c r="C191" s="7">
        <v>0</v>
      </c>
      <c r="D191" s="7">
        <v>0</v>
      </c>
      <c r="E191" s="7">
        <f>+C191+D191</f>
        <v>0</v>
      </c>
      <c r="F191" s="7">
        <v>0</v>
      </c>
      <c r="G191" s="7">
        <f>+F191</f>
        <v>0</v>
      </c>
      <c r="H191" s="7">
        <f>+E191-F191</f>
        <v>0</v>
      </c>
      <c r="I191" s="18"/>
    </row>
    <row r="192" spans="1:10" ht="15.75" x14ac:dyDescent="0.25">
      <c r="A192" s="10" t="s">
        <v>90</v>
      </c>
      <c r="B192" s="2" t="s">
        <v>15</v>
      </c>
      <c r="C192" s="7">
        <v>0</v>
      </c>
      <c r="D192" s="7">
        <v>1055800</v>
      </c>
      <c r="E192" s="7">
        <f>+C192+D192</f>
        <v>1055800</v>
      </c>
      <c r="F192" s="7">
        <v>1055800</v>
      </c>
      <c r="G192" s="7">
        <f>+F192</f>
        <v>1055800</v>
      </c>
      <c r="H192" s="7">
        <f>+E192-F192</f>
        <v>0</v>
      </c>
      <c r="I192" s="18"/>
    </row>
    <row r="193" spans="1:9" s="3" customFormat="1" ht="15.75" x14ac:dyDescent="0.25">
      <c r="A193" s="1" t="s">
        <v>284</v>
      </c>
      <c r="B193" s="3" t="s">
        <v>287</v>
      </c>
      <c r="C193" s="13">
        <f>+C194</f>
        <v>172197.4</v>
      </c>
      <c r="D193" s="13">
        <f t="shared" ref="D193:H193" si="178">+D194</f>
        <v>-172197.4</v>
      </c>
      <c r="E193" s="13">
        <f t="shared" si="178"/>
        <v>0</v>
      </c>
      <c r="F193" s="13">
        <f t="shared" si="178"/>
        <v>0</v>
      </c>
      <c r="G193" s="13">
        <f t="shared" si="178"/>
        <v>0</v>
      </c>
      <c r="H193" s="13">
        <f t="shared" si="178"/>
        <v>0</v>
      </c>
      <c r="I193" s="18"/>
    </row>
    <row r="194" spans="1:9" ht="15.75" x14ac:dyDescent="0.25">
      <c r="A194" s="10" t="s">
        <v>285</v>
      </c>
      <c r="B194" s="2" t="s">
        <v>330</v>
      </c>
      <c r="C194" s="7">
        <v>172197.4</v>
      </c>
      <c r="D194" s="7">
        <f>0-C194</f>
        <v>-172197.4</v>
      </c>
      <c r="E194" s="7">
        <f>+C194+D194</f>
        <v>0</v>
      </c>
      <c r="F194" s="7">
        <v>0</v>
      </c>
      <c r="G194" s="7">
        <f>+F194</f>
        <v>0</v>
      </c>
      <c r="H194" s="7">
        <f>+E194-F194</f>
        <v>0</v>
      </c>
      <c r="I194" s="18"/>
    </row>
    <row r="195" spans="1:9" s="3" customFormat="1" ht="15.75" x14ac:dyDescent="0.25">
      <c r="A195" s="5" t="s">
        <v>331</v>
      </c>
      <c r="B195" s="4" t="s">
        <v>21</v>
      </c>
      <c r="C195" s="6">
        <f>+C196+C198+C200</f>
        <v>11349383.6</v>
      </c>
      <c r="D195" s="6">
        <f t="shared" ref="D195:H195" si="179">+D196+D198+D200</f>
        <v>404130.96999999956</v>
      </c>
      <c r="E195" s="6">
        <f t="shared" si="179"/>
        <v>11753514.569999998</v>
      </c>
      <c r="F195" s="6">
        <f t="shared" si="179"/>
        <v>11753514.569999998</v>
      </c>
      <c r="G195" s="6">
        <f t="shared" si="179"/>
        <v>11753514.569999998</v>
      </c>
      <c r="H195" s="6">
        <f t="shared" si="179"/>
        <v>0</v>
      </c>
      <c r="I195" s="18"/>
    </row>
    <row r="196" spans="1:9" s="3" customFormat="1" ht="15.75" x14ac:dyDescent="0.25">
      <c r="A196" s="1">
        <v>3.3</v>
      </c>
      <c r="B196" s="3" t="s">
        <v>45</v>
      </c>
      <c r="C196" s="13">
        <f>+C197</f>
        <v>11237883.6</v>
      </c>
      <c r="D196" s="13">
        <f t="shared" ref="D196:H196" si="180">+D197</f>
        <v>514578.26999999955</v>
      </c>
      <c r="E196" s="13">
        <f t="shared" si="180"/>
        <v>11752461.869999999</v>
      </c>
      <c r="F196" s="13">
        <f t="shared" si="180"/>
        <v>11752461.869999999</v>
      </c>
      <c r="G196" s="13">
        <f t="shared" si="180"/>
        <v>11752461.869999999</v>
      </c>
      <c r="H196" s="13">
        <f t="shared" si="180"/>
        <v>0</v>
      </c>
      <c r="I196" s="18"/>
    </row>
    <row r="197" spans="1:9" ht="15.75" x14ac:dyDescent="0.25">
      <c r="A197" s="10" t="s">
        <v>154</v>
      </c>
      <c r="B197" s="2" t="s">
        <v>161</v>
      </c>
      <c r="C197" s="7">
        <v>11237883.6</v>
      </c>
      <c r="D197" s="7">
        <f>11752461.87-C197</f>
        <v>514578.26999999955</v>
      </c>
      <c r="E197" s="7">
        <f t="shared" ref="E197" si="181">+C197+D197</f>
        <v>11752461.869999999</v>
      </c>
      <c r="F197" s="7">
        <v>11752461.869999999</v>
      </c>
      <c r="G197" s="7">
        <f t="shared" ref="G197" si="182">+F197</f>
        <v>11752461.869999999</v>
      </c>
      <c r="H197" s="7">
        <f t="shared" ref="H197" si="183">+E197-F197</f>
        <v>0</v>
      </c>
      <c r="I197" s="18"/>
    </row>
    <row r="198" spans="1:9" s="3" customFormat="1" ht="15.75" x14ac:dyDescent="0.25">
      <c r="A198" s="1">
        <v>3.4</v>
      </c>
      <c r="B198" s="3" t="s">
        <v>46</v>
      </c>
      <c r="C198" s="13">
        <f>+C199</f>
        <v>1500</v>
      </c>
      <c r="D198" s="13">
        <f t="shared" ref="D198:H200" si="184">+D199</f>
        <v>-447.29999999999995</v>
      </c>
      <c r="E198" s="13">
        <f t="shared" si="184"/>
        <v>1052.7</v>
      </c>
      <c r="F198" s="13">
        <f t="shared" si="184"/>
        <v>1052.7</v>
      </c>
      <c r="G198" s="13">
        <f t="shared" si="184"/>
        <v>1052.7</v>
      </c>
      <c r="H198" s="13">
        <f t="shared" si="184"/>
        <v>0</v>
      </c>
      <c r="I198" s="18"/>
    </row>
    <row r="199" spans="1:9" ht="15.75" x14ac:dyDescent="0.25">
      <c r="A199" s="10" t="s">
        <v>166</v>
      </c>
      <c r="B199" s="2" t="s">
        <v>168</v>
      </c>
      <c r="C199" s="7">
        <v>1500</v>
      </c>
      <c r="D199" s="7">
        <f>1052.7-C199</f>
        <v>-447.29999999999995</v>
      </c>
      <c r="E199" s="7">
        <f>+C199+D199</f>
        <v>1052.7</v>
      </c>
      <c r="F199" s="7">
        <v>1052.7</v>
      </c>
      <c r="G199" s="7">
        <f t="shared" ref="G199:G207" si="185">+F199</f>
        <v>1052.7</v>
      </c>
      <c r="H199" s="7">
        <f>+E199-F199</f>
        <v>0</v>
      </c>
      <c r="I199" s="18"/>
    </row>
    <row r="200" spans="1:9" s="3" customFormat="1" ht="15.75" x14ac:dyDescent="0.25">
      <c r="A200" s="1" t="s">
        <v>332</v>
      </c>
      <c r="B200" s="3" t="s">
        <v>333</v>
      </c>
      <c r="C200" s="13">
        <f>+C201</f>
        <v>110000</v>
      </c>
      <c r="D200" s="13">
        <f t="shared" si="184"/>
        <v>-110000</v>
      </c>
      <c r="E200" s="13">
        <f t="shared" si="184"/>
        <v>0</v>
      </c>
      <c r="F200" s="13">
        <f t="shared" si="184"/>
        <v>0</v>
      </c>
      <c r="G200" s="13">
        <f t="shared" si="184"/>
        <v>0</v>
      </c>
      <c r="H200" s="13">
        <f t="shared" si="184"/>
        <v>0</v>
      </c>
      <c r="I200" s="18"/>
    </row>
    <row r="201" spans="1:9" ht="15.75" x14ac:dyDescent="0.25">
      <c r="A201" s="10" t="s">
        <v>197</v>
      </c>
      <c r="B201" s="2" t="s">
        <v>202</v>
      </c>
      <c r="C201" s="7">
        <v>110000</v>
      </c>
      <c r="D201" s="7">
        <f>0-C201</f>
        <v>-110000</v>
      </c>
      <c r="E201" s="7">
        <f>+C201+D201</f>
        <v>0</v>
      </c>
      <c r="F201" s="7">
        <v>0</v>
      </c>
      <c r="G201" s="7">
        <f t="shared" ref="G201" si="186">+F201</f>
        <v>0</v>
      </c>
      <c r="H201" s="7">
        <f>+E201-F201</f>
        <v>0</v>
      </c>
      <c r="I201" s="18"/>
    </row>
    <row r="202" spans="1:9" s="3" customFormat="1" ht="15.75" x14ac:dyDescent="0.25">
      <c r="A202" s="5">
        <v>4</v>
      </c>
      <c r="B202" s="4" t="s">
        <v>49</v>
      </c>
      <c r="C202" s="6">
        <f>+C203+C205</f>
        <v>0</v>
      </c>
      <c r="D202" s="6">
        <f t="shared" ref="D202:H202" si="187">+D203+D205</f>
        <v>807180</v>
      </c>
      <c r="E202" s="6">
        <f t="shared" si="187"/>
        <v>807180</v>
      </c>
      <c r="F202" s="6">
        <f>+F203+F205</f>
        <v>807180</v>
      </c>
      <c r="G202" s="6">
        <f t="shared" si="187"/>
        <v>807180</v>
      </c>
      <c r="H202" s="6">
        <f t="shared" si="187"/>
        <v>0</v>
      </c>
      <c r="I202" s="18"/>
    </row>
    <row r="203" spans="1:9" s="3" customFormat="1" ht="15.75" x14ac:dyDescent="0.25">
      <c r="A203" s="1">
        <v>4.0999999999999996</v>
      </c>
      <c r="B203" s="3" t="s">
        <v>50</v>
      </c>
      <c r="C203" s="13">
        <f>+C204</f>
        <v>0</v>
      </c>
      <c r="D203" s="13">
        <f t="shared" ref="D203:H203" si="188">+D204</f>
        <v>0</v>
      </c>
      <c r="E203" s="13">
        <f t="shared" si="188"/>
        <v>0</v>
      </c>
      <c r="F203" s="13">
        <f t="shared" si="188"/>
        <v>0</v>
      </c>
      <c r="G203" s="13">
        <f t="shared" si="188"/>
        <v>0</v>
      </c>
      <c r="H203" s="13">
        <f t="shared" si="188"/>
        <v>0</v>
      </c>
      <c r="I203" s="18"/>
    </row>
    <row r="204" spans="1:9" ht="15.75" x14ac:dyDescent="0.25">
      <c r="A204" s="10" t="s">
        <v>205</v>
      </c>
      <c r="B204" s="2" t="s">
        <v>208</v>
      </c>
      <c r="C204" s="7">
        <v>0</v>
      </c>
      <c r="D204" s="7">
        <f>0-C204</f>
        <v>0</v>
      </c>
      <c r="E204" s="7">
        <f t="shared" ref="E204" si="189">+C204+D204</f>
        <v>0</v>
      </c>
      <c r="F204" s="7">
        <v>0</v>
      </c>
      <c r="G204" s="7">
        <f t="shared" ref="G204" si="190">+F204</f>
        <v>0</v>
      </c>
      <c r="H204" s="7">
        <f t="shared" ref="H204" si="191">+E204-F204</f>
        <v>0</v>
      </c>
      <c r="I204" s="18"/>
    </row>
    <row r="205" spans="1:9" s="3" customFormat="1" ht="15.75" x14ac:dyDescent="0.25">
      <c r="A205" s="1">
        <v>4.4000000000000004</v>
      </c>
      <c r="B205" s="3" t="s">
        <v>28</v>
      </c>
      <c r="C205" s="13">
        <f>+C206+C207</f>
        <v>0</v>
      </c>
      <c r="D205" s="13">
        <f t="shared" ref="D205:H205" si="192">+D206+D207</f>
        <v>807180</v>
      </c>
      <c r="E205" s="13">
        <f t="shared" si="192"/>
        <v>807180</v>
      </c>
      <c r="F205" s="13">
        <f>+F206+F207</f>
        <v>807180</v>
      </c>
      <c r="G205" s="13">
        <f t="shared" si="192"/>
        <v>807180</v>
      </c>
      <c r="H205" s="13">
        <f t="shared" si="192"/>
        <v>0</v>
      </c>
      <c r="I205" s="18"/>
    </row>
    <row r="206" spans="1:9" ht="15.75" x14ac:dyDescent="0.25">
      <c r="A206" s="10" t="s">
        <v>211</v>
      </c>
      <c r="B206" s="2" t="s">
        <v>216</v>
      </c>
      <c r="C206" s="7">
        <v>0</v>
      </c>
      <c r="D206" s="7">
        <f>0-C206</f>
        <v>0</v>
      </c>
      <c r="E206" s="7">
        <f t="shared" ref="E206" si="193">+C206+D206</f>
        <v>0</v>
      </c>
      <c r="F206" s="7">
        <v>0</v>
      </c>
      <c r="G206" s="7">
        <f t="shared" si="185"/>
        <v>0</v>
      </c>
      <c r="H206" s="7">
        <f t="shared" ref="H206:H207" si="194">+E206-F206</f>
        <v>0</v>
      </c>
      <c r="I206" s="18"/>
    </row>
    <row r="207" spans="1:9" ht="15.75" x14ac:dyDescent="0.25">
      <c r="A207" s="10" t="s">
        <v>214</v>
      </c>
      <c r="B207" s="2" t="s">
        <v>219</v>
      </c>
      <c r="C207" s="7">
        <v>0</v>
      </c>
      <c r="D207" s="7">
        <v>807180</v>
      </c>
      <c r="E207" s="7">
        <f>+C207+D207</f>
        <v>807180</v>
      </c>
      <c r="F207" s="7">
        <v>807180</v>
      </c>
      <c r="G207" s="7">
        <f t="shared" si="185"/>
        <v>807180</v>
      </c>
      <c r="H207" s="7">
        <f t="shared" si="194"/>
        <v>0</v>
      </c>
      <c r="I207" s="18"/>
    </row>
    <row r="208" spans="1:9" x14ac:dyDescent="0.25">
      <c r="A208" s="5">
        <v>6</v>
      </c>
      <c r="B208" s="4" t="s">
        <v>35</v>
      </c>
      <c r="C208" s="6">
        <f>+C209</f>
        <v>0</v>
      </c>
      <c r="D208" s="6">
        <f t="shared" ref="D208:H209" si="195">+D209</f>
        <v>3309487.8</v>
      </c>
      <c r="E208" s="6">
        <f>+E209</f>
        <v>3309487.8</v>
      </c>
      <c r="F208" s="6">
        <f t="shared" si="195"/>
        <v>0</v>
      </c>
      <c r="G208" s="6">
        <f t="shared" si="195"/>
        <v>0</v>
      </c>
      <c r="H208" s="6">
        <f t="shared" si="195"/>
        <v>3309487.8</v>
      </c>
      <c r="I208" s="29"/>
    </row>
    <row r="209" spans="1:10" s="3" customFormat="1" x14ac:dyDescent="0.25">
      <c r="A209" s="1">
        <v>6.1</v>
      </c>
      <c r="B209" s="3" t="s">
        <v>53</v>
      </c>
      <c r="C209" s="13">
        <f>+C210</f>
        <v>0</v>
      </c>
      <c r="D209" s="13">
        <f t="shared" si="195"/>
        <v>3309487.8</v>
      </c>
      <c r="E209" s="13">
        <f t="shared" si="195"/>
        <v>3309487.8</v>
      </c>
      <c r="F209" s="13">
        <f t="shared" si="195"/>
        <v>0</v>
      </c>
      <c r="G209" s="13">
        <f t="shared" si="195"/>
        <v>0</v>
      </c>
      <c r="H209" s="13">
        <f t="shared" si="195"/>
        <v>3309487.8</v>
      </c>
      <c r="I209" s="29"/>
    </row>
    <row r="210" spans="1:10" x14ac:dyDescent="0.25">
      <c r="A210" s="10" t="s">
        <v>252</v>
      </c>
      <c r="B210" s="2" t="s">
        <v>256</v>
      </c>
      <c r="C210" s="7">
        <v>0</v>
      </c>
      <c r="D210" s="7">
        <v>3309487.8</v>
      </c>
      <c r="E210" s="7">
        <f t="shared" ref="E210" si="196">+C210+D210</f>
        <v>3309487.8</v>
      </c>
      <c r="F210" s="7">
        <v>0</v>
      </c>
      <c r="G210" s="7">
        <v>0</v>
      </c>
      <c r="H210" s="7">
        <f t="shared" ref="H210" si="197">++E210-F210</f>
        <v>3309487.8</v>
      </c>
      <c r="I210" s="29"/>
    </row>
    <row r="211" spans="1:10" x14ac:dyDescent="0.25">
      <c r="A211" s="1"/>
      <c r="B211" s="3"/>
      <c r="C211" s="8"/>
      <c r="D211" s="8"/>
      <c r="E211" s="8"/>
      <c r="F211" s="8"/>
      <c r="G211" s="8"/>
      <c r="H211" s="8"/>
    </row>
    <row r="212" spans="1:10" s="17" customFormat="1" ht="15.75" x14ac:dyDescent="0.25">
      <c r="A212" s="14" t="s">
        <v>55</v>
      </c>
      <c r="B212" s="15"/>
      <c r="C212" s="16">
        <f t="shared" ref="C212:H212" si="198">+C213+C234+C242+C249+C254+C229</f>
        <v>32105035</v>
      </c>
      <c r="D212" s="16">
        <f t="shared" si="198"/>
        <v>2080451.0100000005</v>
      </c>
      <c r="E212" s="16">
        <f t="shared" si="198"/>
        <v>34185486.009999998</v>
      </c>
      <c r="F212" s="16">
        <f t="shared" si="198"/>
        <v>33795044.160000004</v>
      </c>
      <c r="G212" s="16">
        <f t="shared" si="198"/>
        <v>33776124.370000005</v>
      </c>
      <c r="H212" s="16">
        <f t="shared" si="198"/>
        <v>390441.85</v>
      </c>
      <c r="J212" s="18"/>
    </row>
    <row r="213" spans="1:10" x14ac:dyDescent="0.25">
      <c r="A213" s="5">
        <v>1</v>
      </c>
      <c r="B213" s="4" t="s">
        <v>12</v>
      </c>
      <c r="C213" s="6">
        <f>+C214+C217+C225+C227+C223</f>
        <v>25882118.199999999</v>
      </c>
      <c r="D213" s="6">
        <f t="shared" ref="D213:H213" si="199">+D214+D217+D225+D227+D223</f>
        <v>-725145.19999999972</v>
      </c>
      <c r="E213" s="6">
        <f t="shared" si="199"/>
        <v>25156973.000000004</v>
      </c>
      <c r="F213" s="6">
        <f t="shared" si="199"/>
        <v>24836704.630000003</v>
      </c>
      <c r="G213" s="6">
        <f t="shared" si="199"/>
        <v>24836704.630000003</v>
      </c>
      <c r="H213" s="6">
        <f t="shared" si="199"/>
        <v>320268.37</v>
      </c>
      <c r="I213" s="21"/>
    </row>
    <row r="214" spans="1:10" s="3" customFormat="1" x14ac:dyDescent="0.25">
      <c r="A214" s="1">
        <v>1.1000000000000001</v>
      </c>
      <c r="B214" s="3" t="s">
        <v>39</v>
      </c>
      <c r="C214" s="13">
        <f>+C215+C216</f>
        <v>11948947.199999999</v>
      </c>
      <c r="D214" s="13">
        <f t="shared" ref="D214:H214" si="200">+D215+D216</f>
        <v>352567.80000000005</v>
      </c>
      <c r="E214" s="13">
        <f t="shared" si="200"/>
        <v>12301515</v>
      </c>
      <c r="F214" s="13">
        <f t="shared" si="200"/>
        <v>12301515</v>
      </c>
      <c r="G214" s="13">
        <f t="shared" si="200"/>
        <v>12301515</v>
      </c>
      <c r="H214" s="13">
        <f t="shared" si="200"/>
        <v>0</v>
      </c>
      <c r="I214" s="21"/>
    </row>
    <row r="215" spans="1:10" x14ac:dyDescent="0.25">
      <c r="A215" s="10" t="s">
        <v>68</v>
      </c>
      <c r="B215" s="2" t="s">
        <v>69</v>
      </c>
      <c r="C215" s="7">
        <v>10572336</v>
      </c>
      <c r="D215" s="7">
        <f>11573548-C215</f>
        <v>1001212</v>
      </c>
      <c r="E215" s="7">
        <f>+C215+D215</f>
        <v>11573548</v>
      </c>
      <c r="F215" s="7">
        <v>11573548</v>
      </c>
      <c r="G215" s="7">
        <f>+F215</f>
        <v>11573548</v>
      </c>
      <c r="H215" s="7">
        <f>+E215-F215</f>
        <v>0</v>
      </c>
      <c r="I215" s="21"/>
    </row>
    <row r="216" spans="1:10" x14ac:dyDescent="0.25">
      <c r="A216" s="10" t="s">
        <v>70</v>
      </c>
      <c r="B216" s="2" t="s">
        <v>71</v>
      </c>
      <c r="C216" s="7">
        <v>1376611.2</v>
      </c>
      <c r="D216" s="7">
        <f>727967-C216</f>
        <v>-648644.19999999995</v>
      </c>
      <c r="E216" s="7">
        <f>+C216+D216</f>
        <v>727967</v>
      </c>
      <c r="F216" s="7">
        <v>727967</v>
      </c>
      <c r="G216" s="7">
        <f>+F216</f>
        <v>727967</v>
      </c>
      <c r="H216" s="7">
        <f>+E216-F216</f>
        <v>0</v>
      </c>
      <c r="I216" s="21"/>
    </row>
    <row r="217" spans="1:10" s="3" customFormat="1" x14ac:dyDescent="0.25">
      <c r="A217" s="1">
        <v>1.3</v>
      </c>
      <c r="B217" s="3" t="s">
        <v>13</v>
      </c>
      <c r="C217" s="13">
        <f>+C218+C221+C222</f>
        <v>13283171</v>
      </c>
      <c r="D217" s="13">
        <f t="shared" ref="D217:H217" si="201">+D218+D221+D222</f>
        <v>-755306.36999999976</v>
      </c>
      <c r="E217" s="13">
        <f t="shared" si="201"/>
        <v>12527864.630000001</v>
      </c>
      <c r="F217" s="13">
        <f t="shared" si="201"/>
        <v>12527864.630000001</v>
      </c>
      <c r="G217" s="13">
        <f t="shared" si="201"/>
        <v>12527864.630000001</v>
      </c>
      <c r="H217" s="13">
        <f t="shared" si="201"/>
        <v>0</v>
      </c>
      <c r="I217" s="21"/>
    </row>
    <row r="218" spans="1:10" x14ac:dyDescent="0.25">
      <c r="A218" s="10" t="s">
        <v>76</v>
      </c>
      <c r="B218" s="2" t="s">
        <v>77</v>
      </c>
      <c r="C218" s="7">
        <f>+C219+C220</f>
        <v>12989999.640000001</v>
      </c>
      <c r="D218" s="7">
        <f t="shared" ref="D218:H218" si="202">+D219+D220</f>
        <v>-464575.00999999978</v>
      </c>
      <c r="E218" s="7">
        <f t="shared" si="202"/>
        <v>12525424.630000001</v>
      </c>
      <c r="F218" s="7">
        <f t="shared" si="202"/>
        <v>12525424.630000001</v>
      </c>
      <c r="G218" s="7">
        <f t="shared" si="202"/>
        <v>12525424.630000001</v>
      </c>
      <c r="H218" s="7">
        <f t="shared" si="202"/>
        <v>0</v>
      </c>
      <c r="I218" s="21"/>
    </row>
    <row r="219" spans="1:10" x14ac:dyDescent="0.25">
      <c r="A219" s="10" t="s">
        <v>80</v>
      </c>
      <c r="B219" s="2" t="s">
        <v>78</v>
      </c>
      <c r="C219" s="7">
        <v>0</v>
      </c>
      <c r="D219" s="7">
        <v>618</v>
      </c>
      <c r="E219" s="7">
        <f>+C219+D219</f>
        <v>618</v>
      </c>
      <c r="F219" s="7">
        <v>618</v>
      </c>
      <c r="G219" s="7">
        <f>+F219</f>
        <v>618</v>
      </c>
      <c r="H219" s="7">
        <f>+E219-F219</f>
        <v>0</v>
      </c>
      <c r="I219" s="21"/>
    </row>
    <row r="220" spans="1:10" x14ac:dyDescent="0.25">
      <c r="A220" s="10" t="s">
        <v>81</v>
      </c>
      <c r="B220" s="2" t="s">
        <v>79</v>
      </c>
      <c r="C220" s="7">
        <v>12989999.640000001</v>
      </c>
      <c r="D220" s="7">
        <f>12524806.63-C220</f>
        <v>-465193.00999999978</v>
      </c>
      <c r="E220" s="7">
        <f>+C220+D220</f>
        <v>12524806.630000001</v>
      </c>
      <c r="F220" s="7">
        <v>12524806.630000001</v>
      </c>
      <c r="G220" s="7">
        <f>+F220</f>
        <v>12524806.630000001</v>
      </c>
      <c r="H220" s="7">
        <f>+E220-F220</f>
        <v>0</v>
      </c>
      <c r="I220" s="21"/>
    </row>
    <row r="221" spans="1:10" x14ac:dyDescent="0.25">
      <c r="A221" s="10" t="s">
        <v>82</v>
      </c>
      <c r="B221" s="2" t="s">
        <v>265</v>
      </c>
      <c r="C221" s="7">
        <v>100000</v>
      </c>
      <c r="D221" s="7">
        <f>2440-C221</f>
        <v>-97560</v>
      </c>
      <c r="E221" s="7">
        <f>+C221+D221</f>
        <v>2440</v>
      </c>
      <c r="F221" s="7">
        <v>2440</v>
      </c>
      <c r="G221" s="7">
        <f>+F221</f>
        <v>2440</v>
      </c>
      <c r="H221" s="7">
        <f>+E221-F221</f>
        <v>0</v>
      </c>
      <c r="I221" s="21"/>
    </row>
    <row r="222" spans="1:10" x14ac:dyDescent="0.25">
      <c r="A222" s="10" t="s">
        <v>84</v>
      </c>
      <c r="B222" s="2" t="s">
        <v>334</v>
      </c>
      <c r="C222" s="7">
        <v>193171.36</v>
      </c>
      <c r="D222" s="7">
        <f>0-C222</f>
        <v>-193171.36</v>
      </c>
      <c r="E222" s="7">
        <f>+C222+D222</f>
        <v>0</v>
      </c>
      <c r="F222" s="7">
        <v>0</v>
      </c>
      <c r="G222" s="7">
        <f>+F222</f>
        <v>0</v>
      </c>
      <c r="H222" s="7">
        <f>+E222-F222</f>
        <v>0</v>
      </c>
      <c r="I222" s="21"/>
    </row>
    <row r="223" spans="1:10" s="3" customFormat="1" x14ac:dyDescent="0.25">
      <c r="A223" s="1" t="s">
        <v>417</v>
      </c>
      <c r="B223" s="3" t="s">
        <v>420</v>
      </c>
      <c r="C223" s="13">
        <f>+C224</f>
        <v>0</v>
      </c>
      <c r="D223" s="13">
        <f t="shared" ref="D223:H225" si="203">+D224</f>
        <v>320268.37</v>
      </c>
      <c r="E223" s="13">
        <f t="shared" si="203"/>
        <v>320268.37</v>
      </c>
      <c r="F223" s="13">
        <f t="shared" si="203"/>
        <v>0</v>
      </c>
      <c r="G223" s="13">
        <f t="shared" si="203"/>
        <v>0</v>
      </c>
      <c r="H223" s="13">
        <f t="shared" si="203"/>
        <v>320268.37</v>
      </c>
      <c r="I223" s="21"/>
    </row>
    <row r="224" spans="1:10" x14ac:dyDescent="0.25">
      <c r="A224" s="10" t="s">
        <v>418</v>
      </c>
      <c r="B224" s="2" t="s">
        <v>419</v>
      </c>
      <c r="C224" s="7">
        <v>0</v>
      </c>
      <c r="D224" s="7">
        <v>320268.37</v>
      </c>
      <c r="E224" s="7">
        <f>+C224+D224</f>
        <v>320268.37</v>
      </c>
      <c r="F224" s="7">
        <v>0</v>
      </c>
      <c r="G224" s="7">
        <f>+F224</f>
        <v>0</v>
      </c>
      <c r="H224" s="7">
        <f>+E224-F224</f>
        <v>320268.37</v>
      </c>
      <c r="I224" s="21"/>
    </row>
    <row r="225" spans="1:9" s="3" customFormat="1" x14ac:dyDescent="0.25">
      <c r="A225" s="1">
        <v>1.5</v>
      </c>
      <c r="B225" s="3" t="s">
        <v>15</v>
      </c>
      <c r="C225" s="13">
        <f>+C226</f>
        <v>250000</v>
      </c>
      <c r="D225" s="13">
        <f t="shared" si="203"/>
        <v>-242675</v>
      </c>
      <c r="E225" s="13">
        <f t="shared" si="203"/>
        <v>7325</v>
      </c>
      <c r="F225" s="13">
        <f t="shared" si="203"/>
        <v>7325</v>
      </c>
      <c r="G225" s="13">
        <f t="shared" si="203"/>
        <v>7325</v>
      </c>
      <c r="H225" s="13">
        <f t="shared" si="203"/>
        <v>0</v>
      </c>
      <c r="I225" s="21"/>
    </row>
    <row r="226" spans="1:9" x14ac:dyDescent="0.25">
      <c r="A226" s="10" t="s">
        <v>90</v>
      </c>
      <c r="B226" s="2" t="s">
        <v>15</v>
      </c>
      <c r="C226" s="7">
        <v>250000</v>
      </c>
      <c r="D226" s="7">
        <f>7325-C226</f>
        <v>-242675</v>
      </c>
      <c r="E226" s="7">
        <f>+C226+D226</f>
        <v>7325</v>
      </c>
      <c r="F226" s="7">
        <v>7325</v>
      </c>
      <c r="G226" s="7">
        <f>+F226</f>
        <v>7325</v>
      </c>
      <c r="H226" s="7">
        <f>+E226-F226</f>
        <v>0</v>
      </c>
      <c r="I226" s="21"/>
    </row>
    <row r="227" spans="1:9" s="3" customFormat="1" x14ac:dyDescent="0.25">
      <c r="A227" s="1" t="s">
        <v>284</v>
      </c>
      <c r="B227" s="3" t="s">
        <v>287</v>
      </c>
      <c r="C227" s="13">
        <f>+C228</f>
        <v>400000</v>
      </c>
      <c r="D227" s="13">
        <f t="shared" ref="D227:H227" si="204">+D228</f>
        <v>-400000</v>
      </c>
      <c r="E227" s="13">
        <f t="shared" si="204"/>
        <v>0</v>
      </c>
      <c r="F227" s="13">
        <f t="shared" si="204"/>
        <v>0</v>
      </c>
      <c r="G227" s="13">
        <f t="shared" si="204"/>
        <v>0</v>
      </c>
      <c r="H227" s="13">
        <f t="shared" si="204"/>
        <v>0</v>
      </c>
      <c r="I227" s="21"/>
    </row>
    <row r="228" spans="1:9" x14ac:dyDescent="0.25">
      <c r="A228" s="10" t="s">
        <v>285</v>
      </c>
      <c r="B228" s="2" t="s">
        <v>330</v>
      </c>
      <c r="C228" s="7">
        <v>400000</v>
      </c>
      <c r="D228" s="7">
        <f>0-C228</f>
        <v>-400000</v>
      </c>
      <c r="E228" s="7">
        <f>+C228+D228</f>
        <v>0</v>
      </c>
      <c r="F228" s="7">
        <v>0</v>
      </c>
      <c r="G228" s="7">
        <f>+F228</f>
        <v>0</v>
      </c>
      <c r="H228" s="7">
        <f>+E228-F228</f>
        <v>0</v>
      </c>
      <c r="I228" s="21"/>
    </row>
    <row r="229" spans="1:9" s="3" customFormat="1" x14ac:dyDescent="0.25">
      <c r="A229" s="5">
        <v>2</v>
      </c>
      <c r="B229" s="4" t="s">
        <v>17</v>
      </c>
      <c r="C229" s="6">
        <f>+C232+C230</f>
        <v>0</v>
      </c>
      <c r="D229" s="6">
        <f t="shared" ref="D229:H229" si="205">+D232+D230</f>
        <v>184993.47999999998</v>
      </c>
      <c r="E229" s="6">
        <f t="shared" si="205"/>
        <v>184993.47999999998</v>
      </c>
      <c r="F229" s="6">
        <f t="shared" si="205"/>
        <v>114820</v>
      </c>
      <c r="G229" s="6">
        <f t="shared" si="205"/>
        <v>114820</v>
      </c>
      <c r="H229" s="6">
        <f t="shared" si="205"/>
        <v>70173.48</v>
      </c>
      <c r="I229" s="21"/>
    </row>
    <row r="230" spans="1:9" s="3" customFormat="1" x14ac:dyDescent="0.25">
      <c r="A230" s="22">
        <v>2.1</v>
      </c>
      <c r="B230" s="3" t="s">
        <v>64</v>
      </c>
      <c r="C230" s="13">
        <f>+C231</f>
        <v>0</v>
      </c>
      <c r="D230" s="13">
        <f t="shared" ref="D230:H230" si="206">+D231</f>
        <v>70173.48</v>
      </c>
      <c r="E230" s="13">
        <f t="shared" si="206"/>
        <v>70173.48</v>
      </c>
      <c r="F230" s="13">
        <f t="shared" si="206"/>
        <v>0</v>
      </c>
      <c r="G230" s="13">
        <f t="shared" si="206"/>
        <v>0</v>
      </c>
      <c r="H230" s="13">
        <f t="shared" si="206"/>
        <v>70173.48</v>
      </c>
      <c r="I230" s="21"/>
    </row>
    <row r="231" spans="1:9" x14ac:dyDescent="0.25">
      <c r="A231" s="10" t="s">
        <v>93</v>
      </c>
      <c r="B231" s="2" t="s">
        <v>99</v>
      </c>
      <c r="C231" s="7">
        <v>0</v>
      </c>
      <c r="D231" s="7">
        <v>70173.48</v>
      </c>
      <c r="E231" s="7">
        <f t="shared" ref="E231" si="207">+C231+D231</f>
        <v>70173.48</v>
      </c>
      <c r="F231" s="7">
        <v>0</v>
      </c>
      <c r="G231" s="7">
        <f t="shared" ref="G231" si="208">+F231</f>
        <v>0</v>
      </c>
      <c r="H231" s="7">
        <f>+E231-G231</f>
        <v>70173.48</v>
      </c>
      <c r="I231" s="21"/>
    </row>
    <row r="232" spans="1:9" s="3" customFormat="1" x14ac:dyDescent="0.25">
      <c r="A232" s="1">
        <v>2.4</v>
      </c>
      <c r="B232" s="3" t="s">
        <v>41</v>
      </c>
      <c r="C232" s="13">
        <f>+C233</f>
        <v>0</v>
      </c>
      <c r="D232" s="13">
        <f t="shared" ref="D232:H232" si="209">+D233</f>
        <v>114820</v>
      </c>
      <c r="E232" s="13">
        <f t="shared" si="209"/>
        <v>114820</v>
      </c>
      <c r="F232" s="13">
        <f t="shared" si="209"/>
        <v>114820</v>
      </c>
      <c r="G232" s="13">
        <f t="shared" si="209"/>
        <v>114820</v>
      </c>
      <c r="H232" s="13">
        <f t="shared" si="209"/>
        <v>0</v>
      </c>
      <c r="I232" s="21"/>
    </row>
    <row r="233" spans="1:9" x14ac:dyDescent="0.25">
      <c r="A233" s="10" t="s">
        <v>108</v>
      </c>
      <c r="B233" s="2" t="s">
        <v>111</v>
      </c>
      <c r="C233" s="7">
        <v>0</v>
      </c>
      <c r="D233" s="7">
        <v>114820</v>
      </c>
      <c r="E233" s="7">
        <f>+C233+D233</f>
        <v>114820</v>
      </c>
      <c r="F233" s="7">
        <v>114820</v>
      </c>
      <c r="G233" s="7">
        <f>+F233</f>
        <v>114820</v>
      </c>
      <c r="H233" s="7">
        <f>+E233-F233</f>
        <v>0</v>
      </c>
      <c r="I233" s="21"/>
    </row>
    <row r="234" spans="1:9" s="3" customFormat="1" x14ac:dyDescent="0.25">
      <c r="A234" s="5">
        <v>3</v>
      </c>
      <c r="B234" s="4" t="s">
        <v>21</v>
      </c>
      <c r="C234" s="6">
        <f>+C235+C238+C240</f>
        <v>4972916.8</v>
      </c>
      <c r="D234" s="6">
        <f t="shared" ref="D234:H234" si="210">+D235+D238+D240</f>
        <v>-309857.3299999999</v>
      </c>
      <c r="E234" s="6">
        <f t="shared" si="210"/>
        <v>4663059.47</v>
      </c>
      <c r="F234" s="6">
        <f t="shared" si="210"/>
        <v>4663059.47</v>
      </c>
      <c r="G234" s="6">
        <f t="shared" si="210"/>
        <v>4663059.47</v>
      </c>
      <c r="H234" s="6">
        <f t="shared" si="210"/>
        <v>0</v>
      </c>
      <c r="I234" s="21"/>
    </row>
    <row r="235" spans="1:9" s="3" customFormat="1" x14ac:dyDescent="0.25">
      <c r="A235" s="1">
        <v>3.3</v>
      </c>
      <c r="B235" s="3" t="s">
        <v>45</v>
      </c>
      <c r="C235" s="13">
        <f>+C236+C237</f>
        <v>4918716.8</v>
      </c>
      <c r="D235" s="13">
        <f t="shared" ref="D235:H235" si="211">+D236+D237</f>
        <v>-256083.62999999989</v>
      </c>
      <c r="E235" s="13">
        <f t="shared" si="211"/>
        <v>4662633.17</v>
      </c>
      <c r="F235" s="13">
        <f t="shared" si="211"/>
        <v>4662633.17</v>
      </c>
      <c r="G235" s="13">
        <f t="shared" si="211"/>
        <v>4662633.17</v>
      </c>
      <c r="H235" s="13">
        <f t="shared" si="211"/>
        <v>0</v>
      </c>
      <c r="I235" s="21"/>
    </row>
    <row r="236" spans="1:9" x14ac:dyDescent="0.25">
      <c r="A236" s="10" t="s">
        <v>152</v>
      </c>
      <c r="B236" s="2" t="s">
        <v>159</v>
      </c>
      <c r="C236" s="7">
        <v>0</v>
      </c>
      <c r="D236" s="7">
        <v>0</v>
      </c>
      <c r="E236" s="7">
        <f t="shared" ref="E236:E237" si="212">+C236+D236</f>
        <v>0</v>
      </c>
      <c r="F236" s="7">
        <v>0</v>
      </c>
      <c r="G236" s="7">
        <f t="shared" ref="G236:G237" si="213">+F236</f>
        <v>0</v>
      </c>
      <c r="H236" s="7">
        <f>+E236-F236</f>
        <v>0</v>
      </c>
      <c r="I236" s="21"/>
    </row>
    <row r="237" spans="1:9" x14ac:dyDescent="0.25">
      <c r="A237" s="10" t="s">
        <v>154</v>
      </c>
      <c r="B237" s="2" t="s">
        <v>161</v>
      </c>
      <c r="C237" s="7">
        <v>4918716.8</v>
      </c>
      <c r="D237" s="7">
        <f>4662633.17-C237</f>
        <v>-256083.62999999989</v>
      </c>
      <c r="E237" s="7">
        <f t="shared" si="212"/>
        <v>4662633.17</v>
      </c>
      <c r="F237" s="7">
        <v>4662633.17</v>
      </c>
      <c r="G237" s="7">
        <f t="shared" si="213"/>
        <v>4662633.17</v>
      </c>
      <c r="H237" s="7">
        <f t="shared" ref="H237" si="214">+E237-F237</f>
        <v>0</v>
      </c>
      <c r="I237" s="21"/>
    </row>
    <row r="238" spans="1:9" s="3" customFormat="1" x14ac:dyDescent="0.25">
      <c r="A238" s="1">
        <v>3.4</v>
      </c>
      <c r="B238" s="3" t="s">
        <v>46</v>
      </c>
      <c r="C238" s="13">
        <f>+C239</f>
        <v>2200</v>
      </c>
      <c r="D238" s="13">
        <f t="shared" ref="D238:H238" si="215">+D239</f>
        <v>-1773.7</v>
      </c>
      <c r="E238" s="13">
        <f t="shared" si="215"/>
        <v>426.29999999999995</v>
      </c>
      <c r="F238" s="13">
        <f t="shared" si="215"/>
        <v>426.3</v>
      </c>
      <c r="G238" s="13">
        <f t="shared" si="215"/>
        <v>426.3</v>
      </c>
      <c r="H238" s="13">
        <f t="shared" si="215"/>
        <v>0</v>
      </c>
      <c r="I238" s="21"/>
    </row>
    <row r="239" spans="1:9" x14ac:dyDescent="0.25">
      <c r="A239" s="10" t="s">
        <v>166</v>
      </c>
      <c r="B239" s="2" t="s">
        <v>168</v>
      </c>
      <c r="C239" s="7">
        <v>2200</v>
      </c>
      <c r="D239" s="7">
        <f>426.3-C239</f>
        <v>-1773.7</v>
      </c>
      <c r="E239" s="7">
        <f>+C239+D239</f>
        <v>426.29999999999995</v>
      </c>
      <c r="F239" s="7">
        <v>426.3</v>
      </c>
      <c r="G239" s="7">
        <f t="shared" ref="G239:G248" si="216">+F239</f>
        <v>426.3</v>
      </c>
      <c r="H239" s="7">
        <f>+E239-F239</f>
        <v>0</v>
      </c>
      <c r="I239" s="21"/>
    </row>
    <row r="240" spans="1:9" s="3" customFormat="1" x14ac:dyDescent="0.25">
      <c r="A240" s="1" t="s">
        <v>332</v>
      </c>
      <c r="B240" s="3" t="s">
        <v>333</v>
      </c>
      <c r="C240" s="13">
        <f>+C241</f>
        <v>52000</v>
      </c>
      <c r="D240" s="13">
        <f t="shared" ref="D240:H240" si="217">+D241</f>
        <v>-52000</v>
      </c>
      <c r="E240" s="13">
        <f t="shared" si="217"/>
        <v>0</v>
      </c>
      <c r="F240" s="13">
        <f t="shared" si="217"/>
        <v>0</v>
      </c>
      <c r="G240" s="13">
        <f t="shared" si="217"/>
        <v>0</v>
      </c>
      <c r="H240" s="13">
        <f t="shared" si="217"/>
        <v>0</v>
      </c>
      <c r="I240" s="21"/>
    </row>
    <row r="241" spans="1:9" x14ac:dyDescent="0.25">
      <c r="A241" s="10" t="s">
        <v>197</v>
      </c>
      <c r="B241" s="2" t="s">
        <v>202</v>
      </c>
      <c r="C241" s="7">
        <v>52000</v>
      </c>
      <c r="D241" s="7">
        <f>0-C241</f>
        <v>-52000</v>
      </c>
      <c r="E241" s="7">
        <f>+C241+D241</f>
        <v>0</v>
      </c>
      <c r="F241" s="7">
        <v>0</v>
      </c>
      <c r="G241" s="7">
        <f t="shared" ref="G241" si="218">+F241</f>
        <v>0</v>
      </c>
      <c r="H241" s="7">
        <f>+E241-F241</f>
        <v>0</v>
      </c>
      <c r="I241" s="21"/>
    </row>
    <row r="242" spans="1:9" s="3" customFormat="1" x14ac:dyDescent="0.25">
      <c r="A242" s="5">
        <v>4</v>
      </c>
      <c r="B242" s="4" t="s">
        <v>49</v>
      </c>
      <c r="C242" s="6">
        <f>+C243+C245</f>
        <v>1250000</v>
      </c>
      <c r="D242" s="6">
        <f t="shared" ref="D242:H242" si="219">+D243+D245</f>
        <v>686283.46</v>
      </c>
      <c r="E242" s="6">
        <f t="shared" si="219"/>
        <v>1936283.46</v>
      </c>
      <c r="F242" s="6">
        <f t="shared" si="219"/>
        <v>1936283.46</v>
      </c>
      <c r="G242" s="6">
        <f t="shared" si="219"/>
        <v>1936283.46</v>
      </c>
      <c r="H242" s="6">
        <f t="shared" si="219"/>
        <v>0</v>
      </c>
      <c r="I242" s="21"/>
    </row>
    <row r="243" spans="1:9" s="3" customFormat="1" x14ac:dyDescent="0.25">
      <c r="A243" s="1">
        <v>4.0999999999999996</v>
      </c>
      <c r="B243" s="3" t="s">
        <v>50</v>
      </c>
      <c r="C243" s="13">
        <f>+C244</f>
        <v>0</v>
      </c>
      <c r="D243" s="13">
        <f t="shared" ref="D243:H243" si="220">+D244</f>
        <v>0</v>
      </c>
      <c r="E243" s="13">
        <f t="shared" si="220"/>
        <v>0</v>
      </c>
      <c r="F243" s="13">
        <f t="shared" si="220"/>
        <v>0</v>
      </c>
      <c r="G243" s="13">
        <f t="shared" si="220"/>
        <v>0</v>
      </c>
      <c r="H243" s="13">
        <f t="shared" si="220"/>
        <v>0</v>
      </c>
      <c r="I243" s="21"/>
    </row>
    <row r="244" spans="1:9" x14ac:dyDescent="0.25">
      <c r="A244" s="10" t="s">
        <v>205</v>
      </c>
      <c r="B244" s="2" t="s">
        <v>208</v>
      </c>
      <c r="C244" s="7">
        <v>0</v>
      </c>
      <c r="D244" s="7">
        <f>0-C244</f>
        <v>0</v>
      </c>
      <c r="E244" s="7">
        <f t="shared" ref="E244" si="221">+C244+D244</f>
        <v>0</v>
      </c>
      <c r="F244" s="7">
        <v>0</v>
      </c>
      <c r="G244" s="7">
        <f t="shared" ref="G244" si="222">+F244</f>
        <v>0</v>
      </c>
      <c r="H244" s="7">
        <f t="shared" ref="H244" si="223">+E244-F244</f>
        <v>0</v>
      </c>
      <c r="I244" s="21"/>
    </row>
    <row r="245" spans="1:9" s="3" customFormat="1" x14ac:dyDescent="0.25">
      <c r="A245" s="1">
        <v>4.4000000000000004</v>
      </c>
      <c r="B245" s="3" t="s">
        <v>28</v>
      </c>
      <c r="C245" s="13">
        <f>+C246+C247+C248</f>
        <v>1250000</v>
      </c>
      <c r="D245" s="13">
        <f t="shared" ref="D245:H245" si="224">+D246+D247+D248</f>
        <v>686283.46</v>
      </c>
      <c r="E245" s="13">
        <f t="shared" si="224"/>
        <v>1936283.46</v>
      </c>
      <c r="F245" s="13">
        <f t="shared" si="224"/>
        <v>1936283.46</v>
      </c>
      <c r="G245" s="13">
        <f t="shared" si="224"/>
        <v>1936283.46</v>
      </c>
      <c r="H245" s="13">
        <f t="shared" si="224"/>
        <v>0</v>
      </c>
      <c r="I245" s="21"/>
    </row>
    <row r="246" spans="1:9" x14ac:dyDescent="0.25">
      <c r="A246" s="10" t="s">
        <v>211</v>
      </c>
      <c r="B246" s="2" t="s">
        <v>216</v>
      </c>
      <c r="C246" s="7">
        <v>600000</v>
      </c>
      <c r="D246" s="7">
        <f>0-C246</f>
        <v>-600000</v>
      </c>
      <c r="E246" s="7">
        <f t="shared" ref="E246:E248" si="225">+C246+D246</f>
        <v>0</v>
      </c>
      <c r="F246" s="7">
        <v>0</v>
      </c>
      <c r="G246" s="7">
        <f t="shared" si="216"/>
        <v>0</v>
      </c>
      <c r="H246" s="7">
        <f t="shared" ref="H246:H248" si="226">+E246-F246</f>
        <v>0</v>
      </c>
      <c r="I246" s="21"/>
    </row>
    <row r="247" spans="1:9" x14ac:dyDescent="0.25">
      <c r="A247" s="10" t="s">
        <v>212</v>
      </c>
      <c r="B247" s="2" t="s">
        <v>217</v>
      </c>
      <c r="C247" s="7">
        <v>650000</v>
      </c>
      <c r="D247" s="7">
        <f>550083.46-C247</f>
        <v>-99916.540000000037</v>
      </c>
      <c r="E247" s="7">
        <f t="shared" si="225"/>
        <v>550083.46</v>
      </c>
      <c r="F247" s="7">
        <v>550083.46</v>
      </c>
      <c r="G247" s="7">
        <f t="shared" si="216"/>
        <v>550083.46</v>
      </c>
      <c r="H247" s="7">
        <f t="shared" si="226"/>
        <v>0</v>
      </c>
      <c r="I247" s="21"/>
    </row>
    <row r="248" spans="1:9" x14ac:dyDescent="0.25">
      <c r="A248" s="10" t="s">
        <v>214</v>
      </c>
      <c r="B248" s="2" t="s">
        <v>219</v>
      </c>
      <c r="C248" s="7">
        <v>0</v>
      </c>
      <c r="D248" s="7">
        <v>1386200</v>
      </c>
      <c r="E248" s="7">
        <f t="shared" si="225"/>
        <v>1386200</v>
      </c>
      <c r="F248" s="7">
        <v>1386200</v>
      </c>
      <c r="G248" s="7">
        <f t="shared" si="216"/>
        <v>1386200</v>
      </c>
      <c r="H248" s="7">
        <f t="shared" si="226"/>
        <v>0</v>
      </c>
      <c r="I248" s="21"/>
    </row>
    <row r="249" spans="1:9" s="3" customFormat="1" x14ac:dyDescent="0.25">
      <c r="A249" s="5">
        <v>5</v>
      </c>
      <c r="B249" s="4" t="s">
        <v>30</v>
      </c>
      <c r="C249" s="6">
        <f>+C252+C250</f>
        <v>0</v>
      </c>
      <c r="D249" s="6">
        <f t="shared" ref="D249:H249" si="227">+D252+D250</f>
        <v>203000</v>
      </c>
      <c r="E249" s="6">
        <f t="shared" si="227"/>
        <v>203000</v>
      </c>
      <c r="F249" s="6">
        <f t="shared" si="227"/>
        <v>203000</v>
      </c>
      <c r="G249" s="6">
        <f t="shared" si="227"/>
        <v>203000</v>
      </c>
      <c r="H249" s="6">
        <f t="shared" si="227"/>
        <v>0</v>
      </c>
      <c r="I249" s="21"/>
    </row>
    <row r="250" spans="1:9" s="3" customFormat="1" x14ac:dyDescent="0.25">
      <c r="A250" s="1">
        <v>5.0999999999999996</v>
      </c>
      <c r="B250" s="3" t="s">
        <v>31</v>
      </c>
      <c r="C250" s="13">
        <f>+C251</f>
        <v>0</v>
      </c>
      <c r="D250" s="13">
        <f>+D251</f>
        <v>203000</v>
      </c>
      <c r="E250" s="13">
        <f t="shared" ref="E250:H250" si="228">+E251</f>
        <v>203000</v>
      </c>
      <c r="F250" s="13">
        <f t="shared" si="228"/>
        <v>203000</v>
      </c>
      <c r="G250" s="13">
        <f t="shared" si="228"/>
        <v>203000</v>
      </c>
      <c r="H250" s="13">
        <f t="shared" si="228"/>
        <v>0</v>
      </c>
      <c r="I250" s="21"/>
    </row>
    <row r="251" spans="1:9" x14ac:dyDescent="0.25">
      <c r="A251" s="10" t="s">
        <v>230</v>
      </c>
      <c r="B251" s="2" t="s">
        <v>376</v>
      </c>
      <c r="C251" s="7">
        <v>0</v>
      </c>
      <c r="D251" s="7">
        <v>203000</v>
      </c>
      <c r="E251" s="7">
        <f t="shared" ref="E251" si="229">+C251+D251</f>
        <v>203000</v>
      </c>
      <c r="F251" s="7">
        <v>203000</v>
      </c>
      <c r="G251" s="7">
        <f t="shared" ref="G251" si="230">+F251</f>
        <v>203000</v>
      </c>
      <c r="H251" s="7">
        <f t="shared" ref="H251" si="231">+E251-F251</f>
        <v>0</v>
      </c>
      <c r="I251" s="21"/>
    </row>
    <row r="252" spans="1:9" s="3" customFormat="1" x14ac:dyDescent="0.25">
      <c r="A252" s="1">
        <v>5.4</v>
      </c>
      <c r="B252" s="3" t="s">
        <v>32</v>
      </c>
      <c r="C252" s="13">
        <f>+C253</f>
        <v>0</v>
      </c>
      <c r="D252" s="13">
        <f t="shared" ref="D252:H252" si="232">+D253</f>
        <v>0</v>
      </c>
      <c r="E252" s="13">
        <f t="shared" si="232"/>
        <v>0</v>
      </c>
      <c r="F252" s="13">
        <f t="shared" si="232"/>
        <v>0</v>
      </c>
      <c r="G252" s="13">
        <f t="shared" si="232"/>
        <v>0</v>
      </c>
      <c r="H252" s="13">
        <f t="shared" si="232"/>
        <v>0</v>
      </c>
      <c r="I252" s="21"/>
    </row>
    <row r="253" spans="1:9" x14ac:dyDescent="0.25">
      <c r="A253" s="10" t="s">
        <v>239</v>
      </c>
      <c r="B253" s="2" t="s">
        <v>240</v>
      </c>
      <c r="C253" s="7">
        <v>0</v>
      </c>
      <c r="D253" s="7">
        <v>0</v>
      </c>
      <c r="E253" s="7">
        <f t="shared" ref="E253" si="233">+C253+D253</f>
        <v>0</v>
      </c>
      <c r="F253" s="7">
        <v>0</v>
      </c>
      <c r="G253" s="7">
        <f t="shared" ref="G253" si="234">+F253</f>
        <v>0</v>
      </c>
      <c r="H253" s="7">
        <f t="shared" ref="H253" si="235">+E253-F253</f>
        <v>0</v>
      </c>
      <c r="I253" s="21"/>
    </row>
    <row r="254" spans="1:9" x14ac:dyDescent="0.25">
      <c r="A254" s="5">
        <v>6</v>
      </c>
      <c r="B254" s="4" t="s">
        <v>35</v>
      </c>
      <c r="C254" s="6">
        <f>+C255</f>
        <v>0</v>
      </c>
      <c r="D254" s="6">
        <f t="shared" ref="D254:H254" si="236">+D255</f>
        <v>2041176.6</v>
      </c>
      <c r="E254" s="6">
        <f t="shared" si="236"/>
        <v>2041176.6</v>
      </c>
      <c r="F254" s="6">
        <f t="shared" si="236"/>
        <v>2041176.6</v>
      </c>
      <c r="G254" s="6">
        <f t="shared" si="236"/>
        <v>2022256.81</v>
      </c>
      <c r="H254" s="6">
        <f t="shared" si="236"/>
        <v>0</v>
      </c>
      <c r="I254" s="21"/>
    </row>
    <row r="255" spans="1:9" s="3" customFormat="1" x14ac:dyDescent="0.25">
      <c r="A255" s="1">
        <v>6.1</v>
      </c>
      <c r="B255" s="3" t="s">
        <v>53</v>
      </c>
      <c r="C255" s="13">
        <f>+C256+C257</f>
        <v>0</v>
      </c>
      <c r="D255" s="13">
        <f>+D256+D257</f>
        <v>2041176.6</v>
      </c>
      <c r="E255" s="13">
        <f t="shared" ref="E255:H255" si="237">+E256+E257</f>
        <v>2041176.6</v>
      </c>
      <c r="F255" s="13">
        <f t="shared" si="237"/>
        <v>2041176.6</v>
      </c>
      <c r="G255" s="13">
        <f>+G256+G257</f>
        <v>2022256.81</v>
      </c>
      <c r="H255" s="13">
        <f t="shared" si="237"/>
        <v>0</v>
      </c>
      <c r="I255" s="21"/>
    </row>
    <row r="256" spans="1:9" ht="16.5" customHeight="1" x14ac:dyDescent="0.25">
      <c r="A256" s="10" t="s">
        <v>251</v>
      </c>
      <c r="B256" s="2" t="s">
        <v>277</v>
      </c>
      <c r="C256" s="7">
        <v>0</v>
      </c>
      <c r="D256" s="7">
        <v>0</v>
      </c>
      <c r="E256" s="7">
        <f t="shared" ref="E256" si="238">+C256+D256</f>
        <v>0</v>
      </c>
      <c r="F256" s="7">
        <v>0</v>
      </c>
      <c r="G256" s="7">
        <f t="shared" ref="G256" si="239">+F256</f>
        <v>0</v>
      </c>
      <c r="H256" s="7">
        <f t="shared" ref="H256" si="240">+E256-F256</f>
        <v>0</v>
      </c>
      <c r="I256" s="21"/>
    </row>
    <row r="257" spans="1:10" ht="16.5" customHeight="1" x14ac:dyDescent="0.25">
      <c r="A257" s="10" t="s">
        <v>253</v>
      </c>
      <c r="B257" s="2" t="s">
        <v>257</v>
      </c>
      <c r="C257" s="7">
        <v>0</v>
      </c>
      <c r="D257" s="7">
        <v>2041176.6</v>
      </c>
      <c r="E257" s="7">
        <f t="shared" ref="E257" si="241">+C257+D257</f>
        <v>2041176.6</v>
      </c>
      <c r="F257" s="7">
        <v>2041176.6</v>
      </c>
      <c r="G257" s="7">
        <v>2022256.81</v>
      </c>
      <c r="H257" s="7">
        <f t="shared" ref="H257" si="242">+E257-F257</f>
        <v>0</v>
      </c>
      <c r="I257" s="21"/>
    </row>
    <row r="258" spans="1:10" s="3" customFormat="1" x14ac:dyDescent="0.25">
      <c r="A258" s="22"/>
      <c r="B258" s="2"/>
      <c r="C258" s="7"/>
      <c r="D258" s="7"/>
      <c r="E258" s="7"/>
      <c r="F258" s="7"/>
      <c r="G258" s="7"/>
      <c r="H258" s="7"/>
    </row>
    <row r="259" spans="1:10" s="17" customFormat="1" ht="31.5" customHeight="1" x14ac:dyDescent="0.25">
      <c r="A259" s="37" t="s">
        <v>56</v>
      </c>
      <c r="B259" s="37"/>
      <c r="C259" s="16">
        <f t="shared" ref="C259:G259" si="243">+C260+C276+C309+C337+C351</f>
        <v>84391704</v>
      </c>
      <c r="D259" s="16">
        <f t="shared" si="243"/>
        <v>7560040.1499999985</v>
      </c>
      <c r="E259" s="16">
        <f t="shared" si="243"/>
        <v>91951744.149999991</v>
      </c>
      <c r="F259" s="16">
        <f t="shared" si="243"/>
        <v>91951744.149999991</v>
      </c>
      <c r="G259" s="16">
        <f t="shared" si="243"/>
        <v>85100899.709999993</v>
      </c>
      <c r="H259" s="16">
        <f>+H260+H276+H309+H337+H351</f>
        <v>0</v>
      </c>
      <c r="J259" s="18"/>
    </row>
    <row r="260" spans="1:10" x14ac:dyDescent="0.25">
      <c r="A260" s="5">
        <v>1</v>
      </c>
      <c r="B260" s="4" t="s">
        <v>12</v>
      </c>
      <c r="C260" s="6">
        <f>+C261+C263+C266+C274+C272</f>
        <v>0</v>
      </c>
      <c r="D260" s="6">
        <f t="shared" ref="D260:H260" si="244">+D261+D263+D266+D274+D272</f>
        <v>226211.83</v>
      </c>
      <c r="E260" s="6">
        <f t="shared" si="244"/>
        <v>226211.83</v>
      </c>
      <c r="F260" s="6">
        <f t="shared" si="244"/>
        <v>226211.83</v>
      </c>
      <c r="G260" s="6">
        <f t="shared" si="244"/>
        <v>38370</v>
      </c>
      <c r="H260" s="6">
        <f t="shared" si="244"/>
        <v>0</v>
      </c>
    </row>
    <row r="261" spans="1:10" s="3" customFormat="1" x14ac:dyDescent="0.25">
      <c r="A261" s="1">
        <v>1.1000000000000001</v>
      </c>
      <c r="B261" s="3" t="s">
        <v>39</v>
      </c>
      <c r="C261" s="13">
        <f>+C262</f>
        <v>0</v>
      </c>
      <c r="D261" s="13">
        <f t="shared" ref="D261:H261" si="245">+D262</f>
        <v>4045</v>
      </c>
      <c r="E261" s="13">
        <f t="shared" si="245"/>
        <v>4045</v>
      </c>
      <c r="F261" s="13">
        <f t="shared" si="245"/>
        <v>4045</v>
      </c>
      <c r="G261" s="13">
        <f t="shared" si="245"/>
        <v>4045</v>
      </c>
      <c r="H261" s="13">
        <f t="shared" si="245"/>
        <v>0</v>
      </c>
    </row>
    <row r="262" spans="1:10" x14ac:dyDescent="0.25">
      <c r="A262" s="10" t="s">
        <v>70</v>
      </c>
      <c r="B262" s="2" t="s">
        <v>71</v>
      </c>
      <c r="C262" s="7">
        <v>0</v>
      </c>
      <c r="D262" s="7">
        <v>4045</v>
      </c>
      <c r="E262" s="7">
        <f>+C262+D262</f>
        <v>4045</v>
      </c>
      <c r="F262" s="7">
        <v>4045</v>
      </c>
      <c r="G262" s="7">
        <f>+F262</f>
        <v>4045</v>
      </c>
      <c r="H262" s="7">
        <f>+E262-F262</f>
        <v>0</v>
      </c>
    </row>
    <row r="263" spans="1:10" s="3" customFormat="1" x14ac:dyDescent="0.25">
      <c r="A263" s="1">
        <v>1.2</v>
      </c>
      <c r="B263" s="3" t="s">
        <v>40</v>
      </c>
      <c r="C263" s="13">
        <f t="shared" ref="C263:H263" si="246">+C264+C265</f>
        <v>0</v>
      </c>
      <c r="D263" s="13">
        <f t="shared" si="246"/>
        <v>0</v>
      </c>
      <c r="E263" s="13">
        <f t="shared" si="246"/>
        <v>0</v>
      </c>
      <c r="F263" s="13">
        <f t="shared" si="246"/>
        <v>0</v>
      </c>
      <c r="G263" s="13">
        <f t="shared" si="246"/>
        <v>0</v>
      </c>
      <c r="H263" s="13">
        <f t="shared" si="246"/>
        <v>0</v>
      </c>
    </row>
    <row r="264" spans="1:10" x14ac:dyDescent="0.25">
      <c r="A264" s="10" t="s">
        <v>72</v>
      </c>
      <c r="B264" s="2" t="s">
        <v>73</v>
      </c>
      <c r="C264" s="7">
        <v>0</v>
      </c>
      <c r="D264" s="7">
        <v>0</v>
      </c>
      <c r="E264" s="7">
        <f>+C264+D264</f>
        <v>0</v>
      </c>
      <c r="F264" s="7">
        <v>0</v>
      </c>
      <c r="G264" s="7">
        <f>+F264</f>
        <v>0</v>
      </c>
      <c r="H264" s="7">
        <f>+E264-F264</f>
        <v>0</v>
      </c>
    </row>
    <row r="265" spans="1:10" x14ac:dyDescent="0.25">
      <c r="A265" s="10" t="s">
        <v>74</v>
      </c>
      <c r="B265" s="2" t="s">
        <v>75</v>
      </c>
      <c r="C265" s="7">
        <v>0</v>
      </c>
      <c r="D265" s="7">
        <v>0</v>
      </c>
      <c r="E265" s="7">
        <f>+C265+D265</f>
        <v>0</v>
      </c>
      <c r="F265" s="7">
        <v>0</v>
      </c>
      <c r="G265" s="7">
        <f>+F265</f>
        <v>0</v>
      </c>
      <c r="H265" s="7">
        <f>+E265-F265</f>
        <v>0</v>
      </c>
    </row>
    <row r="266" spans="1:10" s="3" customFormat="1" x14ac:dyDescent="0.25">
      <c r="A266" s="1">
        <v>1.3</v>
      </c>
      <c r="B266" s="3" t="s">
        <v>13</v>
      </c>
      <c r="C266" s="13">
        <f t="shared" ref="C266:H266" si="247">+C267+C270+C271</f>
        <v>0</v>
      </c>
      <c r="D266" s="13">
        <f t="shared" si="247"/>
        <v>0</v>
      </c>
      <c r="E266" s="13">
        <f t="shared" si="247"/>
        <v>0</v>
      </c>
      <c r="F266" s="13">
        <f t="shared" si="247"/>
        <v>0</v>
      </c>
      <c r="G266" s="13">
        <f t="shared" si="247"/>
        <v>0</v>
      </c>
      <c r="H266" s="13">
        <f t="shared" si="247"/>
        <v>0</v>
      </c>
    </row>
    <row r="267" spans="1:10" x14ac:dyDescent="0.25">
      <c r="A267" s="10" t="s">
        <v>76</v>
      </c>
      <c r="B267" s="2" t="s">
        <v>77</v>
      </c>
      <c r="C267" s="7">
        <v>0</v>
      </c>
      <c r="D267" s="7">
        <v>0</v>
      </c>
      <c r="E267" s="7">
        <f t="shared" ref="E267:H267" si="248">+E268+E269</f>
        <v>0</v>
      </c>
      <c r="F267" s="7">
        <v>0</v>
      </c>
      <c r="G267" s="7">
        <f t="shared" si="248"/>
        <v>0</v>
      </c>
      <c r="H267" s="7">
        <f t="shared" si="248"/>
        <v>0</v>
      </c>
    </row>
    <row r="268" spans="1:10" x14ac:dyDescent="0.25">
      <c r="A268" s="10" t="s">
        <v>80</v>
      </c>
      <c r="B268" s="2" t="s">
        <v>78</v>
      </c>
      <c r="C268" s="7">
        <v>0</v>
      </c>
      <c r="D268" s="7">
        <v>0</v>
      </c>
      <c r="E268" s="7">
        <f>+C268+D268</f>
        <v>0</v>
      </c>
      <c r="F268" s="7">
        <v>0</v>
      </c>
      <c r="G268" s="7">
        <f>+F268</f>
        <v>0</v>
      </c>
      <c r="H268" s="7">
        <f>+E268-F268</f>
        <v>0</v>
      </c>
    </row>
    <row r="269" spans="1:10" x14ac:dyDescent="0.25">
      <c r="A269" s="10" t="s">
        <v>81</v>
      </c>
      <c r="B269" s="2" t="s">
        <v>79</v>
      </c>
      <c r="C269" s="7">
        <v>0</v>
      </c>
      <c r="D269" s="7">
        <v>0</v>
      </c>
      <c r="E269" s="7">
        <f>+C269+D269</f>
        <v>0</v>
      </c>
      <c r="F269" s="7">
        <v>0</v>
      </c>
      <c r="G269" s="7">
        <f>+F269</f>
        <v>0</v>
      </c>
      <c r="H269" s="7">
        <f>+E269-F269</f>
        <v>0</v>
      </c>
    </row>
    <row r="270" spans="1:10" x14ac:dyDescent="0.25">
      <c r="A270" s="10" t="s">
        <v>82</v>
      </c>
      <c r="B270" s="2" t="s">
        <v>83</v>
      </c>
      <c r="C270" s="7">
        <v>0</v>
      </c>
      <c r="D270" s="7">
        <v>0</v>
      </c>
      <c r="E270" s="7">
        <f>+C270+D270</f>
        <v>0</v>
      </c>
      <c r="F270" s="7">
        <v>0</v>
      </c>
      <c r="G270" s="7">
        <f>+F270</f>
        <v>0</v>
      </c>
      <c r="H270" s="7">
        <f>+E270-F270</f>
        <v>0</v>
      </c>
    </row>
    <row r="271" spans="1:10" x14ac:dyDescent="0.25">
      <c r="A271" s="10" t="s">
        <v>84</v>
      </c>
      <c r="B271" s="2" t="s">
        <v>85</v>
      </c>
      <c r="C271" s="7">
        <v>0</v>
      </c>
      <c r="D271" s="7">
        <v>0</v>
      </c>
      <c r="E271" s="7">
        <f>+C271+D271</f>
        <v>0</v>
      </c>
      <c r="F271" s="7">
        <v>0</v>
      </c>
      <c r="G271" s="7">
        <f>+F271</f>
        <v>0</v>
      </c>
      <c r="H271" s="7">
        <f>+E271-F271</f>
        <v>0</v>
      </c>
    </row>
    <row r="272" spans="1:10" s="3" customFormat="1" x14ac:dyDescent="0.25">
      <c r="A272" s="1" t="s">
        <v>417</v>
      </c>
      <c r="B272" s="3" t="s">
        <v>420</v>
      </c>
      <c r="C272" s="13">
        <f>+C273</f>
        <v>0</v>
      </c>
      <c r="D272" s="13">
        <f t="shared" ref="D272:H272" si="249">+D273</f>
        <v>187841.83</v>
      </c>
      <c r="E272" s="13">
        <f t="shared" si="249"/>
        <v>187841.83</v>
      </c>
      <c r="F272" s="13">
        <f t="shared" si="249"/>
        <v>187841.83</v>
      </c>
      <c r="G272" s="13">
        <f t="shared" si="249"/>
        <v>0</v>
      </c>
      <c r="H272" s="13">
        <f t="shared" si="249"/>
        <v>0</v>
      </c>
      <c r="I272" s="21"/>
    </row>
    <row r="273" spans="1:9" x14ac:dyDescent="0.25">
      <c r="A273" s="10" t="s">
        <v>418</v>
      </c>
      <c r="B273" s="2" t="s">
        <v>419</v>
      </c>
      <c r="C273" s="7">
        <v>0</v>
      </c>
      <c r="D273" s="7">
        <v>187841.83</v>
      </c>
      <c r="E273" s="7">
        <f>+C273+D273</f>
        <v>187841.83</v>
      </c>
      <c r="F273" s="7">
        <v>187841.83</v>
      </c>
      <c r="G273" s="7">
        <v>0</v>
      </c>
      <c r="H273" s="7">
        <f>+E273-F273</f>
        <v>0</v>
      </c>
      <c r="I273" s="21"/>
    </row>
    <row r="274" spans="1:9" s="3" customFormat="1" x14ac:dyDescent="0.25">
      <c r="A274" s="1">
        <v>1.5</v>
      </c>
      <c r="B274" s="3" t="s">
        <v>15</v>
      </c>
      <c r="C274" s="13">
        <f>+C275</f>
        <v>0</v>
      </c>
      <c r="D274" s="13">
        <f t="shared" ref="D274:H274" si="250">+D275</f>
        <v>34325</v>
      </c>
      <c r="E274" s="13">
        <f t="shared" si="250"/>
        <v>34325</v>
      </c>
      <c r="F274" s="13">
        <f t="shared" si="250"/>
        <v>34325</v>
      </c>
      <c r="G274" s="13">
        <f t="shared" si="250"/>
        <v>34325</v>
      </c>
      <c r="H274" s="13">
        <f t="shared" si="250"/>
        <v>0</v>
      </c>
    </row>
    <row r="275" spans="1:9" x14ac:dyDescent="0.25">
      <c r="A275" s="10" t="s">
        <v>90</v>
      </c>
      <c r="B275" s="2" t="s">
        <v>15</v>
      </c>
      <c r="C275" s="7">
        <v>0</v>
      </c>
      <c r="D275" s="7">
        <v>34325</v>
      </c>
      <c r="E275" s="7">
        <f>+C275+D275</f>
        <v>34325</v>
      </c>
      <c r="F275" s="7">
        <v>34325</v>
      </c>
      <c r="G275" s="7">
        <f>+F275</f>
        <v>34325</v>
      </c>
      <c r="H275" s="7">
        <f>+E275-F275</f>
        <v>0</v>
      </c>
    </row>
    <row r="276" spans="1:9" s="3" customFormat="1" x14ac:dyDescent="0.25">
      <c r="A276" s="5">
        <v>2</v>
      </c>
      <c r="B276" s="4" t="s">
        <v>17</v>
      </c>
      <c r="C276" s="6">
        <f>+C277+C283+C285+C291+C295+C299+C297+C303</f>
        <v>9130000</v>
      </c>
      <c r="D276" s="6">
        <f t="shared" ref="D276:H276" si="251">+D277+D283+D285+D291+D295+D299+D297+D303</f>
        <v>2169169.8000000003</v>
      </c>
      <c r="E276" s="6">
        <f t="shared" si="251"/>
        <v>11299169.799999999</v>
      </c>
      <c r="F276" s="6">
        <f t="shared" si="251"/>
        <v>11299169.799999999</v>
      </c>
      <c r="G276" s="6">
        <f t="shared" si="251"/>
        <v>10968025.989999998</v>
      </c>
      <c r="H276" s="6">
        <f t="shared" si="251"/>
        <v>0</v>
      </c>
    </row>
    <row r="277" spans="1:9" s="3" customFormat="1" x14ac:dyDescent="0.25">
      <c r="A277" s="22">
        <v>2.1</v>
      </c>
      <c r="B277" s="3" t="s">
        <v>64</v>
      </c>
      <c r="C277" s="13">
        <f>+C278+C279+C280+C282+C281</f>
        <v>340000</v>
      </c>
      <c r="D277" s="13">
        <f t="shared" ref="D277:H277" si="252">+D278+D279+D280+D282+D281</f>
        <v>-19786.140000000014</v>
      </c>
      <c r="E277" s="13">
        <f t="shared" si="252"/>
        <v>320213.86</v>
      </c>
      <c r="F277" s="13">
        <f t="shared" si="252"/>
        <v>320213.86</v>
      </c>
      <c r="G277" s="13">
        <f t="shared" si="252"/>
        <v>320213.86</v>
      </c>
      <c r="H277" s="13">
        <f t="shared" si="252"/>
        <v>0</v>
      </c>
    </row>
    <row r="278" spans="1:9" x14ac:dyDescent="0.25">
      <c r="A278" s="10" t="s">
        <v>93</v>
      </c>
      <c r="B278" s="2" t="s">
        <v>99</v>
      </c>
      <c r="C278" s="7">
        <v>50000</v>
      </c>
      <c r="D278" s="7">
        <f>54587.78-C278</f>
        <v>4587.7799999999988</v>
      </c>
      <c r="E278" s="7">
        <f t="shared" ref="E278:E282" si="253">+C278+D278</f>
        <v>54587.78</v>
      </c>
      <c r="F278" s="7">
        <v>54587.78</v>
      </c>
      <c r="G278" s="7">
        <f t="shared" ref="G278:G301" si="254">+F278</f>
        <v>54587.78</v>
      </c>
      <c r="H278" s="7">
        <f t="shared" ref="H278:H282" si="255">+E278-F278</f>
        <v>0</v>
      </c>
    </row>
    <row r="279" spans="1:9" x14ac:dyDescent="0.25">
      <c r="A279" s="10" t="s">
        <v>94</v>
      </c>
      <c r="B279" s="2" t="s">
        <v>100</v>
      </c>
      <c r="C279" s="7">
        <v>100000</v>
      </c>
      <c r="D279" s="7">
        <f>254950.86-C279</f>
        <v>154950.85999999999</v>
      </c>
      <c r="E279" s="7">
        <f t="shared" si="253"/>
        <v>254950.86</v>
      </c>
      <c r="F279" s="7">
        <v>254950.86</v>
      </c>
      <c r="G279" s="7">
        <f t="shared" si="254"/>
        <v>254950.86</v>
      </c>
      <c r="H279" s="7">
        <f t="shared" si="255"/>
        <v>0</v>
      </c>
    </row>
    <row r="280" spans="1:9" x14ac:dyDescent="0.25">
      <c r="A280" s="10" t="s">
        <v>95</v>
      </c>
      <c r="B280" s="2" t="s">
        <v>101</v>
      </c>
      <c r="C280" s="7">
        <v>50000</v>
      </c>
      <c r="D280" s="7">
        <f>10675.22-C280</f>
        <v>-39324.78</v>
      </c>
      <c r="E280" s="7">
        <f t="shared" si="253"/>
        <v>10675.220000000001</v>
      </c>
      <c r="F280" s="7">
        <v>10675.22</v>
      </c>
      <c r="G280" s="7">
        <f t="shared" si="254"/>
        <v>10675.22</v>
      </c>
      <c r="H280" s="7">
        <f t="shared" si="255"/>
        <v>0</v>
      </c>
    </row>
    <row r="281" spans="1:9" x14ac:dyDescent="0.25">
      <c r="A281" s="10" t="s">
        <v>96</v>
      </c>
      <c r="B281" s="2" t="s">
        <v>102</v>
      </c>
      <c r="C281" s="7">
        <v>70000</v>
      </c>
      <c r="D281" s="7">
        <f>0-C281</f>
        <v>-70000</v>
      </c>
      <c r="E281" s="7">
        <f t="shared" ref="E281" si="256">+C281+D281</f>
        <v>0</v>
      </c>
      <c r="F281" s="7">
        <v>0</v>
      </c>
      <c r="G281" s="7">
        <f t="shared" ref="G281" si="257">+F281</f>
        <v>0</v>
      </c>
      <c r="H281" s="7">
        <f t="shared" ref="H281" si="258">+E281-F281</f>
        <v>0</v>
      </c>
    </row>
    <row r="282" spans="1:9" x14ac:dyDescent="0.25">
      <c r="A282" s="10" t="s">
        <v>97</v>
      </c>
      <c r="B282" s="2" t="s">
        <v>103</v>
      </c>
      <c r="C282" s="7">
        <v>70000</v>
      </c>
      <c r="D282" s="7">
        <f>0-C282</f>
        <v>-70000</v>
      </c>
      <c r="E282" s="7">
        <f t="shared" si="253"/>
        <v>0</v>
      </c>
      <c r="F282" s="7">
        <v>0</v>
      </c>
      <c r="G282" s="7">
        <f t="shared" si="254"/>
        <v>0</v>
      </c>
      <c r="H282" s="7">
        <f t="shared" si="255"/>
        <v>0</v>
      </c>
    </row>
    <row r="283" spans="1:9" s="3" customFormat="1" x14ac:dyDescent="0.25">
      <c r="A283" s="1">
        <v>2.2000000000000002</v>
      </c>
      <c r="B283" s="3" t="s">
        <v>18</v>
      </c>
      <c r="C283" s="13">
        <f>+C284</f>
        <v>0</v>
      </c>
      <c r="D283" s="13">
        <f t="shared" ref="D283:H283" si="259">+D284</f>
        <v>71920</v>
      </c>
      <c r="E283" s="13">
        <f t="shared" si="259"/>
        <v>71920</v>
      </c>
      <c r="F283" s="13">
        <f t="shared" si="259"/>
        <v>71920</v>
      </c>
      <c r="G283" s="13">
        <f t="shared" si="259"/>
        <v>71920</v>
      </c>
      <c r="H283" s="13">
        <f t="shared" si="259"/>
        <v>0</v>
      </c>
    </row>
    <row r="284" spans="1:9" x14ac:dyDescent="0.25">
      <c r="A284" s="10" t="s">
        <v>105</v>
      </c>
      <c r="B284" s="2" t="s">
        <v>106</v>
      </c>
      <c r="C284" s="7">
        <v>0</v>
      </c>
      <c r="D284" s="7">
        <v>71920</v>
      </c>
      <c r="E284" s="7">
        <f t="shared" ref="E284" si="260">+C284+D284</f>
        <v>71920</v>
      </c>
      <c r="F284" s="7">
        <v>71920</v>
      </c>
      <c r="G284" s="7">
        <f t="shared" si="254"/>
        <v>71920</v>
      </c>
      <c r="H284" s="7">
        <f>+E284-F284</f>
        <v>0</v>
      </c>
    </row>
    <row r="285" spans="1:9" s="3" customFormat="1" x14ac:dyDescent="0.25">
      <c r="A285" s="1">
        <v>2.4</v>
      </c>
      <c r="B285" s="3" t="s">
        <v>41</v>
      </c>
      <c r="C285" s="13">
        <f>+C290+C286+C287+C288+C289</f>
        <v>350000</v>
      </c>
      <c r="D285" s="13">
        <f t="shared" ref="D285:H285" si="261">+D290+D286+D287+D288+D289</f>
        <v>2135233.5299999998</v>
      </c>
      <c r="E285" s="13">
        <f t="shared" si="261"/>
        <v>2485233.5299999998</v>
      </c>
      <c r="F285" s="13">
        <f t="shared" si="261"/>
        <v>2485233.5299999998</v>
      </c>
      <c r="G285" s="13">
        <f t="shared" si="261"/>
        <v>2154089.7200000002</v>
      </c>
      <c r="H285" s="13">
        <f t="shared" si="261"/>
        <v>0</v>
      </c>
    </row>
    <row r="286" spans="1:9" x14ac:dyDescent="0.25">
      <c r="A286" s="10" t="s">
        <v>292</v>
      </c>
      <c r="B286" s="2" t="s">
        <v>293</v>
      </c>
      <c r="C286" s="7">
        <v>100000</v>
      </c>
      <c r="D286" s="7">
        <f>0-C286</f>
        <v>-100000</v>
      </c>
      <c r="E286" s="7">
        <f t="shared" ref="E286:E289" si="262">+C286+D286</f>
        <v>0</v>
      </c>
      <c r="F286" s="7">
        <v>0</v>
      </c>
      <c r="G286" s="7">
        <f t="shared" ref="G286:G289" si="263">+F286</f>
        <v>0</v>
      </c>
      <c r="H286" s="7">
        <f t="shared" ref="H286:H289" si="264">+E286-F286</f>
        <v>0</v>
      </c>
    </row>
    <row r="287" spans="1:9" x14ac:dyDescent="0.25">
      <c r="A287" s="10" t="s">
        <v>108</v>
      </c>
      <c r="B287" s="2" t="s">
        <v>111</v>
      </c>
      <c r="C287" s="7">
        <v>150000</v>
      </c>
      <c r="D287" s="7">
        <f>2485233.53-C287</f>
        <v>2335233.5299999998</v>
      </c>
      <c r="E287" s="7">
        <f t="shared" si="262"/>
        <v>2485233.5299999998</v>
      </c>
      <c r="F287" s="7">
        <v>2485233.5299999998</v>
      </c>
      <c r="G287" s="7">
        <v>2154089.7200000002</v>
      </c>
      <c r="H287" s="7">
        <f t="shared" si="264"/>
        <v>0</v>
      </c>
    </row>
    <row r="288" spans="1:9" x14ac:dyDescent="0.25">
      <c r="A288" s="10" t="s">
        <v>296</v>
      </c>
      <c r="B288" s="2" t="s">
        <v>335</v>
      </c>
      <c r="C288" s="7">
        <v>50000</v>
      </c>
      <c r="D288" s="7">
        <f>0-C288</f>
        <v>-50000</v>
      </c>
      <c r="E288" s="7">
        <f t="shared" si="262"/>
        <v>0</v>
      </c>
      <c r="F288" s="7">
        <v>0</v>
      </c>
      <c r="G288" s="7">
        <f t="shared" si="263"/>
        <v>0</v>
      </c>
      <c r="H288" s="7">
        <f t="shared" si="264"/>
        <v>0</v>
      </c>
    </row>
    <row r="289" spans="1:8" x14ac:dyDescent="0.25">
      <c r="A289" s="10" t="s">
        <v>297</v>
      </c>
      <c r="B289" s="2" t="s">
        <v>336</v>
      </c>
      <c r="C289" s="7">
        <v>50000</v>
      </c>
      <c r="D289" s="7">
        <f>0-C289</f>
        <v>-50000</v>
      </c>
      <c r="E289" s="7">
        <f t="shared" si="262"/>
        <v>0</v>
      </c>
      <c r="F289" s="7">
        <v>0</v>
      </c>
      <c r="G289" s="7">
        <f t="shared" si="263"/>
        <v>0</v>
      </c>
      <c r="H289" s="7">
        <f t="shared" si="264"/>
        <v>0</v>
      </c>
    </row>
    <row r="290" spans="1:8" x14ac:dyDescent="0.25">
      <c r="A290" s="10" t="s">
        <v>109</v>
      </c>
      <c r="B290" s="2" t="s">
        <v>112</v>
      </c>
      <c r="C290" s="7">
        <v>0</v>
      </c>
      <c r="D290" s="7">
        <v>0</v>
      </c>
      <c r="E290" s="7">
        <f t="shared" ref="E290" si="265">+C290+D290</f>
        <v>0</v>
      </c>
      <c r="F290" s="7">
        <v>0</v>
      </c>
      <c r="G290" s="7">
        <f t="shared" si="254"/>
        <v>0</v>
      </c>
      <c r="H290" s="7">
        <f t="shared" ref="H290" si="266">+E290-F290</f>
        <v>0</v>
      </c>
    </row>
    <row r="291" spans="1:8" s="3" customFormat="1" x14ac:dyDescent="0.25">
      <c r="A291" s="1">
        <v>2.5</v>
      </c>
      <c r="B291" s="3" t="s">
        <v>42</v>
      </c>
      <c r="C291" s="13">
        <f>+C292+C293+C294</f>
        <v>50000</v>
      </c>
      <c r="D291" s="13">
        <f t="shared" ref="D291:H291" si="267">+D292+D293+D294</f>
        <v>-50000</v>
      </c>
      <c r="E291" s="13">
        <f t="shared" si="267"/>
        <v>0</v>
      </c>
      <c r="F291" s="13">
        <f t="shared" si="267"/>
        <v>0</v>
      </c>
      <c r="G291" s="13">
        <f t="shared" si="267"/>
        <v>0</v>
      </c>
      <c r="H291" s="13">
        <f t="shared" si="267"/>
        <v>0</v>
      </c>
    </row>
    <row r="292" spans="1:8" x14ac:dyDescent="0.25">
      <c r="A292" s="10" t="s">
        <v>113</v>
      </c>
      <c r="B292" s="2" t="s">
        <v>115</v>
      </c>
      <c r="C292" s="7">
        <v>0</v>
      </c>
      <c r="D292" s="7">
        <v>0</v>
      </c>
      <c r="E292" s="7">
        <f>+C292+D292</f>
        <v>0</v>
      </c>
      <c r="F292" s="7">
        <v>0</v>
      </c>
      <c r="G292" s="7">
        <f t="shared" si="254"/>
        <v>0</v>
      </c>
      <c r="H292" s="7">
        <f>+E292-F292</f>
        <v>0</v>
      </c>
    </row>
    <row r="293" spans="1:8" x14ac:dyDescent="0.25">
      <c r="A293" s="10" t="s">
        <v>114</v>
      </c>
      <c r="B293" s="2" t="s">
        <v>116</v>
      </c>
      <c r="C293" s="7">
        <v>0</v>
      </c>
      <c r="D293" s="7">
        <v>0</v>
      </c>
      <c r="E293" s="7">
        <f t="shared" ref="E293" si="268">+C293+D293</f>
        <v>0</v>
      </c>
      <c r="F293" s="7">
        <v>0</v>
      </c>
      <c r="G293" s="7">
        <f t="shared" si="254"/>
        <v>0</v>
      </c>
      <c r="H293" s="7">
        <f t="shared" ref="H293" si="269">+E293-F293</f>
        <v>0</v>
      </c>
    </row>
    <row r="294" spans="1:8" x14ac:dyDescent="0.25">
      <c r="A294" s="10" t="s">
        <v>337</v>
      </c>
      <c r="B294" s="2" t="s">
        <v>338</v>
      </c>
      <c r="C294" s="7">
        <v>50000</v>
      </c>
      <c r="D294" s="7">
        <f>0-C294</f>
        <v>-50000</v>
      </c>
      <c r="E294" s="7">
        <f t="shared" ref="E294" si="270">+C294+D294</f>
        <v>0</v>
      </c>
      <c r="F294" s="7">
        <v>0</v>
      </c>
      <c r="G294" s="7">
        <f t="shared" ref="G294" si="271">+F294</f>
        <v>0</v>
      </c>
      <c r="H294" s="7">
        <f t="shared" ref="H294" si="272">+E294-F294</f>
        <v>0</v>
      </c>
    </row>
    <row r="295" spans="1:8" s="3" customFormat="1" x14ac:dyDescent="0.25">
      <c r="A295" s="1">
        <v>2.6</v>
      </c>
      <c r="B295" s="3" t="s">
        <v>19</v>
      </c>
      <c r="C295" s="13">
        <f>+C296</f>
        <v>6900000</v>
      </c>
      <c r="D295" s="13">
        <f t="shared" ref="D295:H295" si="273">+D296</f>
        <v>1251056.5700000003</v>
      </c>
      <c r="E295" s="13">
        <f t="shared" si="273"/>
        <v>8151056.5700000003</v>
      </c>
      <c r="F295" s="13">
        <f t="shared" si="273"/>
        <v>8151056.5700000003</v>
      </c>
      <c r="G295" s="13">
        <f t="shared" si="273"/>
        <v>8151056.5700000003</v>
      </c>
      <c r="H295" s="13">
        <f t="shared" si="273"/>
        <v>0</v>
      </c>
    </row>
    <row r="296" spans="1:8" x14ac:dyDescent="0.25">
      <c r="A296" s="10" t="s">
        <v>117</v>
      </c>
      <c r="B296" s="2" t="s">
        <v>19</v>
      </c>
      <c r="C296" s="7">
        <v>6900000</v>
      </c>
      <c r="D296" s="7">
        <f>8151056.57-C296</f>
        <v>1251056.5700000003</v>
      </c>
      <c r="E296" s="7">
        <f>+C296+D296</f>
        <v>8151056.5700000003</v>
      </c>
      <c r="F296" s="7">
        <v>8151056.5700000003</v>
      </c>
      <c r="G296" s="7">
        <f t="shared" si="254"/>
        <v>8151056.5700000003</v>
      </c>
      <c r="H296" s="7">
        <f t="shared" ref="H296" si="274">+E296-F296</f>
        <v>0</v>
      </c>
    </row>
    <row r="297" spans="1:8" s="3" customFormat="1" x14ac:dyDescent="0.25">
      <c r="A297" s="1" t="s">
        <v>339</v>
      </c>
      <c r="B297" s="3" t="s">
        <v>43</v>
      </c>
      <c r="C297" s="13">
        <f>+C298</f>
        <v>500000</v>
      </c>
      <c r="D297" s="13">
        <f>+D298</f>
        <v>-395270.56</v>
      </c>
      <c r="E297" s="13">
        <f t="shared" ref="E297:H297" si="275">+E298</f>
        <v>104729.44</v>
      </c>
      <c r="F297" s="13">
        <f t="shared" si="275"/>
        <v>104729.44</v>
      </c>
      <c r="G297" s="13">
        <f t="shared" si="275"/>
        <v>104729.44</v>
      </c>
      <c r="H297" s="13">
        <f t="shared" si="275"/>
        <v>0</v>
      </c>
    </row>
    <row r="298" spans="1:8" x14ac:dyDescent="0.25">
      <c r="A298" s="10" t="s">
        <v>118</v>
      </c>
      <c r="B298" s="2" t="s">
        <v>121</v>
      </c>
      <c r="C298" s="7">
        <v>500000</v>
      </c>
      <c r="D298" s="7">
        <f>104729.44-C298</f>
        <v>-395270.56</v>
      </c>
      <c r="E298" s="7">
        <f>+C298+D298</f>
        <v>104729.44</v>
      </c>
      <c r="F298" s="7">
        <v>104729.44</v>
      </c>
      <c r="G298" s="7">
        <f t="shared" ref="G298" si="276">+F298</f>
        <v>104729.44</v>
      </c>
      <c r="H298" s="7">
        <f t="shared" ref="H298" si="277">+E298-F298</f>
        <v>0</v>
      </c>
    </row>
    <row r="299" spans="1:8" s="3" customFormat="1" x14ac:dyDescent="0.25">
      <c r="A299" s="1">
        <v>2.8</v>
      </c>
      <c r="B299" s="3" t="s">
        <v>20</v>
      </c>
      <c r="C299" s="13">
        <f>+C301+C300+C302</f>
        <v>700000</v>
      </c>
      <c r="D299" s="13">
        <f t="shared" ref="D299:H299" si="278">+D301+D300+D302</f>
        <v>-546798.80000000005</v>
      </c>
      <c r="E299" s="13">
        <f t="shared" si="278"/>
        <v>153201.20000000001</v>
      </c>
      <c r="F299" s="13">
        <f t="shared" si="278"/>
        <v>153201.20000000001</v>
      </c>
      <c r="G299" s="13">
        <f t="shared" si="278"/>
        <v>153201.20000000001</v>
      </c>
      <c r="H299" s="13">
        <f t="shared" si="278"/>
        <v>0</v>
      </c>
    </row>
    <row r="300" spans="1:8" x14ac:dyDescent="0.25">
      <c r="A300" s="10" t="s">
        <v>340</v>
      </c>
      <c r="B300" s="2" t="s">
        <v>341</v>
      </c>
      <c r="C300" s="7">
        <v>50000</v>
      </c>
      <c r="D300" s="7">
        <f>0-C300</f>
        <v>-50000</v>
      </c>
      <c r="E300" s="7">
        <f t="shared" ref="E300" si="279">+C300+D300</f>
        <v>0</v>
      </c>
      <c r="F300" s="7">
        <v>0</v>
      </c>
      <c r="G300" s="7">
        <f t="shared" ref="G300" si="280">+F300</f>
        <v>0</v>
      </c>
      <c r="H300" s="7">
        <f t="shared" ref="H300" si="281">+E300-F300</f>
        <v>0</v>
      </c>
    </row>
    <row r="301" spans="1:8" x14ac:dyDescent="0.25">
      <c r="A301" s="10" t="s">
        <v>124</v>
      </c>
      <c r="B301" s="2" t="s">
        <v>126</v>
      </c>
      <c r="C301" s="7">
        <v>450000</v>
      </c>
      <c r="D301" s="7">
        <f>153201.2-C301</f>
        <v>-296798.8</v>
      </c>
      <c r="E301" s="7">
        <f t="shared" ref="E301" si="282">+C301+D301</f>
        <v>153201.20000000001</v>
      </c>
      <c r="F301" s="7">
        <v>153201.20000000001</v>
      </c>
      <c r="G301" s="7">
        <f t="shared" si="254"/>
        <v>153201.20000000001</v>
      </c>
      <c r="H301" s="7">
        <f t="shared" ref="H301" si="283">+E301-F301</f>
        <v>0</v>
      </c>
    </row>
    <row r="302" spans="1:8" x14ac:dyDescent="0.25">
      <c r="A302" s="10" t="s">
        <v>124</v>
      </c>
      <c r="B302" s="2" t="s">
        <v>302</v>
      </c>
      <c r="C302" s="7">
        <v>200000</v>
      </c>
      <c r="D302" s="7">
        <f>0-C302</f>
        <v>-200000</v>
      </c>
      <c r="E302" s="7">
        <f t="shared" ref="E302" si="284">+C302+D302</f>
        <v>0</v>
      </c>
      <c r="F302" s="7">
        <v>0</v>
      </c>
      <c r="G302" s="7">
        <f t="shared" ref="G302" si="285">+F302</f>
        <v>0</v>
      </c>
      <c r="H302" s="7">
        <f t="shared" ref="H302" si="286">+E302-F302</f>
        <v>0</v>
      </c>
    </row>
    <row r="303" spans="1:8" s="3" customFormat="1" x14ac:dyDescent="0.25">
      <c r="A303" s="1" t="s">
        <v>342</v>
      </c>
      <c r="B303" s="31" t="s">
        <v>344</v>
      </c>
      <c r="C303" s="13">
        <f>+C305+C304+C306+C307+C308</f>
        <v>290000</v>
      </c>
      <c r="D303" s="13">
        <f t="shared" ref="D303:H303" si="287">+D305+D304+D306+D307+D308</f>
        <v>-277184.8</v>
      </c>
      <c r="E303" s="13">
        <f t="shared" si="287"/>
        <v>12815.199999999997</v>
      </c>
      <c r="F303" s="13">
        <f t="shared" si="287"/>
        <v>12815.2</v>
      </c>
      <c r="G303" s="13">
        <f t="shared" si="287"/>
        <v>12815.2</v>
      </c>
      <c r="H303" s="13">
        <f t="shared" si="287"/>
        <v>0</v>
      </c>
    </row>
    <row r="304" spans="1:8" x14ac:dyDescent="0.25">
      <c r="A304" s="10" t="s">
        <v>128</v>
      </c>
      <c r="B304" s="31" t="s">
        <v>345</v>
      </c>
      <c r="C304" s="7">
        <v>50000</v>
      </c>
      <c r="D304" s="7">
        <f>12815.2-C304</f>
        <v>-37184.800000000003</v>
      </c>
      <c r="E304" s="7">
        <f t="shared" ref="E304:E306" si="288">+C304+D304</f>
        <v>12815.199999999997</v>
      </c>
      <c r="F304" s="7">
        <v>12815.2</v>
      </c>
      <c r="G304" s="7">
        <f t="shared" ref="G304:G306" si="289">+F304</f>
        <v>12815.2</v>
      </c>
      <c r="H304" s="7">
        <f t="shared" ref="H304:H306" si="290">+E304-F304</f>
        <v>0</v>
      </c>
    </row>
    <row r="305" spans="1:9" x14ac:dyDescent="0.25">
      <c r="A305" s="10" t="s">
        <v>129</v>
      </c>
      <c r="B305" s="31" t="s">
        <v>346</v>
      </c>
      <c r="C305" s="7">
        <v>50000</v>
      </c>
      <c r="D305" s="7">
        <f>0-C305</f>
        <v>-50000</v>
      </c>
      <c r="E305" s="7">
        <f t="shared" si="288"/>
        <v>0</v>
      </c>
      <c r="F305" s="7">
        <v>0</v>
      </c>
      <c r="G305" s="7">
        <f t="shared" si="289"/>
        <v>0</v>
      </c>
      <c r="H305" s="7">
        <f t="shared" si="290"/>
        <v>0</v>
      </c>
    </row>
    <row r="306" spans="1:9" x14ac:dyDescent="0.25">
      <c r="A306" s="10" t="s">
        <v>130</v>
      </c>
      <c r="B306" s="31" t="s">
        <v>347</v>
      </c>
      <c r="C306" s="7">
        <v>40000</v>
      </c>
      <c r="D306" s="7">
        <f>0-C306</f>
        <v>-40000</v>
      </c>
      <c r="E306" s="7">
        <f t="shared" si="288"/>
        <v>0</v>
      </c>
      <c r="F306" s="7">
        <v>0</v>
      </c>
      <c r="G306" s="7">
        <f t="shared" si="289"/>
        <v>0</v>
      </c>
      <c r="H306" s="7">
        <f t="shared" si="290"/>
        <v>0</v>
      </c>
    </row>
    <row r="307" spans="1:9" x14ac:dyDescent="0.25">
      <c r="A307" s="10" t="s">
        <v>131</v>
      </c>
      <c r="B307" s="31" t="s">
        <v>348</v>
      </c>
      <c r="C307" s="7">
        <v>50000</v>
      </c>
      <c r="D307" s="7">
        <f>0-C307</f>
        <v>-50000</v>
      </c>
      <c r="E307" s="7">
        <f t="shared" ref="E307" si="291">+C307+D307</f>
        <v>0</v>
      </c>
      <c r="F307" s="7">
        <v>0</v>
      </c>
      <c r="G307" s="7">
        <f t="shared" ref="G307" si="292">+F307</f>
        <v>0</v>
      </c>
      <c r="H307" s="7">
        <f t="shared" ref="H307" si="293">+E307-F307</f>
        <v>0</v>
      </c>
    </row>
    <row r="308" spans="1:9" x14ac:dyDescent="0.25">
      <c r="A308" s="10" t="s">
        <v>343</v>
      </c>
      <c r="B308" s="31" t="s">
        <v>349</v>
      </c>
      <c r="C308" s="7">
        <v>100000</v>
      </c>
      <c r="D308" s="7">
        <f>0-C308</f>
        <v>-100000</v>
      </c>
      <c r="E308" s="7">
        <f t="shared" ref="E308" si="294">+C308+D308</f>
        <v>0</v>
      </c>
      <c r="F308" s="7">
        <v>0</v>
      </c>
      <c r="G308" s="7">
        <f t="shared" ref="G308" si="295">+F308</f>
        <v>0</v>
      </c>
      <c r="H308" s="7">
        <f t="shared" ref="H308" si="296">+E308-F308</f>
        <v>0</v>
      </c>
    </row>
    <row r="309" spans="1:9" s="3" customFormat="1" x14ac:dyDescent="0.25">
      <c r="A309" s="5">
        <v>3</v>
      </c>
      <c r="B309" s="4" t="s">
        <v>21</v>
      </c>
      <c r="C309" s="6">
        <f>+C310+C317+C322+C324+C334+C332+C315</f>
        <v>60156361.359999999</v>
      </c>
      <c r="D309" s="6">
        <f t="shared" ref="D309:H309" si="297">+D310+D317+D322+D324+D334+D332+D315</f>
        <v>6469649.8899999997</v>
      </c>
      <c r="E309" s="6">
        <f t="shared" si="297"/>
        <v>66626011.25</v>
      </c>
      <c r="F309" s="6">
        <f t="shared" si="297"/>
        <v>66626011.25</v>
      </c>
      <c r="G309" s="6">
        <f t="shared" si="297"/>
        <v>66626011.25</v>
      </c>
      <c r="H309" s="6">
        <f t="shared" si="297"/>
        <v>0</v>
      </c>
    </row>
    <row r="310" spans="1:9" s="3" customFormat="1" x14ac:dyDescent="0.25">
      <c r="A310" s="1">
        <v>3.1</v>
      </c>
      <c r="B310" s="3" t="s">
        <v>22</v>
      </c>
      <c r="C310" s="13">
        <f>+C311+C314+C312+C313</f>
        <v>23130000</v>
      </c>
      <c r="D310" s="13">
        <f t="shared" ref="D310:H310" si="298">+D311+D314+D312+D313</f>
        <v>-2125411.620000001</v>
      </c>
      <c r="E310" s="13">
        <f t="shared" si="298"/>
        <v>21004588.379999999</v>
      </c>
      <c r="F310" s="13">
        <f>+F311+F314+F312+F313</f>
        <v>21004588.379999999</v>
      </c>
      <c r="G310" s="13">
        <f t="shared" si="298"/>
        <v>21004588.379999999</v>
      </c>
      <c r="H310" s="13">
        <f t="shared" si="298"/>
        <v>0</v>
      </c>
    </row>
    <row r="311" spans="1:9" x14ac:dyDescent="0.25">
      <c r="A311" s="10" t="s">
        <v>138</v>
      </c>
      <c r="B311" s="2" t="s">
        <v>141</v>
      </c>
      <c r="C311" s="7">
        <v>23000000</v>
      </c>
      <c r="D311" s="7">
        <f>21004588.38-C311</f>
        <v>-1995411.620000001</v>
      </c>
      <c r="E311" s="7">
        <f t="shared" ref="E311:E314" si="299">+C311+D311</f>
        <v>21004588.379999999</v>
      </c>
      <c r="F311" s="7">
        <v>21004588.379999999</v>
      </c>
      <c r="G311" s="7">
        <f>+F311</f>
        <v>21004588.379999999</v>
      </c>
      <c r="H311" s="7">
        <f t="shared" ref="H311:H314" si="300">+E311-F311</f>
        <v>0</v>
      </c>
    </row>
    <row r="312" spans="1:9" x14ac:dyDescent="0.25">
      <c r="A312" s="10" t="s">
        <v>139</v>
      </c>
      <c r="B312" s="31" t="s">
        <v>142</v>
      </c>
      <c r="C312" s="7">
        <v>100000</v>
      </c>
      <c r="D312" s="7">
        <f>0-C312</f>
        <v>-100000</v>
      </c>
      <c r="E312" s="7">
        <f t="shared" ref="E312" si="301">+C312+D312</f>
        <v>0</v>
      </c>
      <c r="F312" s="7">
        <v>0</v>
      </c>
      <c r="G312" s="7">
        <f>+F312</f>
        <v>0</v>
      </c>
      <c r="H312" s="7">
        <f t="shared" ref="H312" si="302">+E312-F312</f>
        <v>0</v>
      </c>
    </row>
    <row r="313" spans="1:9" x14ac:dyDescent="0.25">
      <c r="A313" s="10" t="s">
        <v>350</v>
      </c>
      <c r="B313" s="31" t="s">
        <v>351</v>
      </c>
      <c r="C313" s="7">
        <v>30000</v>
      </c>
      <c r="D313" s="7">
        <f>0-C313</f>
        <v>-30000</v>
      </c>
      <c r="E313" s="7">
        <f t="shared" ref="E313" si="303">+C313+D313</f>
        <v>0</v>
      </c>
      <c r="F313" s="7">
        <v>0</v>
      </c>
      <c r="G313" s="7">
        <f>+F313</f>
        <v>0</v>
      </c>
      <c r="H313" s="7">
        <f t="shared" ref="H313" si="304">+E313-F313</f>
        <v>0</v>
      </c>
    </row>
    <row r="314" spans="1:9" x14ac:dyDescent="0.25">
      <c r="A314" s="10" t="s">
        <v>140</v>
      </c>
      <c r="B314" s="2" t="s">
        <v>143</v>
      </c>
      <c r="C314" s="7">
        <v>0</v>
      </c>
      <c r="D314" s="7">
        <v>0</v>
      </c>
      <c r="E314" s="7">
        <f t="shared" si="299"/>
        <v>0</v>
      </c>
      <c r="F314" s="7">
        <v>0</v>
      </c>
      <c r="G314" s="7">
        <f t="shared" ref="G314:G345" si="305">+F314</f>
        <v>0</v>
      </c>
      <c r="H314" s="7">
        <f t="shared" si="300"/>
        <v>0</v>
      </c>
    </row>
    <row r="315" spans="1:9" s="3" customFormat="1" x14ac:dyDescent="0.25">
      <c r="A315" s="1">
        <v>3.2</v>
      </c>
      <c r="B315" s="3" t="s">
        <v>23</v>
      </c>
      <c r="C315" s="13">
        <f>+C316</f>
        <v>0</v>
      </c>
      <c r="D315" s="13">
        <f t="shared" ref="D315:H315" si="306">+D316</f>
        <v>21506.18</v>
      </c>
      <c r="E315" s="13">
        <f t="shared" si="306"/>
        <v>21506.18</v>
      </c>
      <c r="F315" s="13">
        <f t="shared" si="306"/>
        <v>21506.18</v>
      </c>
      <c r="G315" s="13">
        <f t="shared" si="306"/>
        <v>21506.18</v>
      </c>
      <c r="H315" s="13">
        <f t="shared" si="306"/>
        <v>0</v>
      </c>
      <c r="I315" s="29"/>
    </row>
    <row r="316" spans="1:9" x14ac:dyDescent="0.25">
      <c r="A316" s="10" t="s">
        <v>145</v>
      </c>
      <c r="B316" s="2" t="s">
        <v>149</v>
      </c>
      <c r="C316" s="7">
        <v>0</v>
      </c>
      <c r="D316" s="7">
        <v>21506.18</v>
      </c>
      <c r="E316" s="7">
        <f t="shared" ref="E316" si="307">+C316+D316</f>
        <v>21506.18</v>
      </c>
      <c r="F316" s="7">
        <v>21506.18</v>
      </c>
      <c r="G316" s="7">
        <f t="shared" ref="G316" si="308">+F316</f>
        <v>21506.18</v>
      </c>
      <c r="H316" s="7">
        <f t="shared" ref="H316" si="309">+E316-F316</f>
        <v>0</v>
      </c>
      <c r="I316" s="29"/>
    </row>
    <row r="317" spans="1:9" s="3" customFormat="1" x14ac:dyDescent="0.25">
      <c r="A317" s="1">
        <v>3.3</v>
      </c>
      <c r="B317" s="3" t="s">
        <v>45</v>
      </c>
      <c r="C317" s="13">
        <f>+C318+C320+C319+C321</f>
        <v>30244861.359999999</v>
      </c>
      <c r="D317" s="13">
        <f t="shared" ref="D317:H317" si="310">+D318+D320+D319+D321</f>
        <v>3563538.8800000008</v>
      </c>
      <c r="E317" s="13">
        <f t="shared" si="310"/>
        <v>33808400.240000002</v>
      </c>
      <c r="F317" s="13">
        <f>+F318+F320+F319+F321</f>
        <v>33808400.240000002</v>
      </c>
      <c r="G317" s="13">
        <f t="shared" si="310"/>
        <v>33808400.240000002</v>
      </c>
      <c r="H317" s="13">
        <f t="shared" si="310"/>
        <v>0</v>
      </c>
    </row>
    <row r="318" spans="1:9" x14ac:dyDescent="0.25">
      <c r="A318" s="10" t="s">
        <v>154</v>
      </c>
      <c r="B318" s="2" t="s">
        <v>161</v>
      </c>
      <c r="C318" s="7">
        <v>29644861.359999999</v>
      </c>
      <c r="D318" s="7">
        <f>33466062-C318</f>
        <v>3821200.6400000006</v>
      </c>
      <c r="E318" s="7">
        <f t="shared" ref="E318:E320" si="311">+C318+D318</f>
        <v>33466062</v>
      </c>
      <c r="F318" s="7">
        <v>33466062</v>
      </c>
      <c r="G318" s="7">
        <f t="shared" ref="G318:G320" si="312">+F318</f>
        <v>33466062</v>
      </c>
      <c r="H318" s="7">
        <f t="shared" ref="H318:H320" si="313">+E318-F318</f>
        <v>0</v>
      </c>
    </row>
    <row r="319" spans="1:9" x14ac:dyDescent="0.25">
      <c r="A319" s="10" t="s">
        <v>155</v>
      </c>
      <c r="B319" s="2" t="s">
        <v>275</v>
      </c>
      <c r="C319" s="7">
        <v>300000</v>
      </c>
      <c r="D319" s="7">
        <f>342338.24-C319</f>
        <v>42338.239999999991</v>
      </c>
      <c r="E319" s="7">
        <f t="shared" si="311"/>
        <v>342338.24</v>
      </c>
      <c r="F319" s="7">
        <v>342338.24</v>
      </c>
      <c r="G319" s="7">
        <f t="shared" si="312"/>
        <v>342338.24</v>
      </c>
      <c r="H319" s="7">
        <f t="shared" si="313"/>
        <v>0</v>
      </c>
    </row>
    <row r="320" spans="1:9" x14ac:dyDescent="0.25">
      <c r="A320" s="10" t="s">
        <v>156</v>
      </c>
      <c r="B320" s="2" t="s">
        <v>163</v>
      </c>
      <c r="C320" s="7">
        <v>100000</v>
      </c>
      <c r="D320" s="7">
        <f>0-C320</f>
        <v>-100000</v>
      </c>
      <c r="E320" s="7">
        <f t="shared" si="311"/>
        <v>0</v>
      </c>
      <c r="F320" s="7">
        <v>0</v>
      </c>
      <c r="G320" s="7">
        <f t="shared" si="312"/>
        <v>0</v>
      </c>
      <c r="H320" s="7">
        <f t="shared" si="313"/>
        <v>0</v>
      </c>
    </row>
    <row r="321" spans="1:8" x14ac:dyDescent="0.25">
      <c r="A321" s="10" t="s">
        <v>158</v>
      </c>
      <c r="B321" s="31" t="s">
        <v>165</v>
      </c>
      <c r="C321" s="7">
        <v>200000</v>
      </c>
      <c r="D321" s="7">
        <f>0-C321</f>
        <v>-200000</v>
      </c>
      <c r="E321" s="7">
        <f t="shared" ref="E321" si="314">+C321+D321</f>
        <v>0</v>
      </c>
      <c r="F321" s="7">
        <v>0</v>
      </c>
      <c r="G321" s="7">
        <f t="shared" ref="G321" si="315">+F321</f>
        <v>0</v>
      </c>
      <c r="H321" s="7">
        <f t="shared" ref="H321" si="316">+E321-F321</f>
        <v>0</v>
      </c>
    </row>
    <row r="322" spans="1:8" s="3" customFormat="1" x14ac:dyDescent="0.25">
      <c r="A322" s="1">
        <v>3.4</v>
      </c>
      <c r="B322" s="3" t="s">
        <v>46</v>
      </c>
      <c r="C322" s="13">
        <f>+C323</f>
        <v>1500</v>
      </c>
      <c r="D322" s="13">
        <f t="shared" ref="D322:H322" si="317">+D323</f>
        <v>9299.6</v>
      </c>
      <c r="E322" s="13">
        <f t="shared" si="317"/>
        <v>10799.6</v>
      </c>
      <c r="F322" s="13">
        <f t="shared" si="317"/>
        <v>10799.6</v>
      </c>
      <c r="G322" s="13">
        <f t="shared" si="317"/>
        <v>10799.6</v>
      </c>
      <c r="H322" s="13">
        <f t="shared" si="317"/>
        <v>0</v>
      </c>
    </row>
    <row r="323" spans="1:8" x14ac:dyDescent="0.25">
      <c r="A323" s="10" t="s">
        <v>166</v>
      </c>
      <c r="B323" s="2" t="s">
        <v>168</v>
      </c>
      <c r="C323" s="7">
        <v>1500</v>
      </c>
      <c r="D323" s="7">
        <f>10799.6-C323</f>
        <v>9299.6</v>
      </c>
      <c r="E323" s="7">
        <f>+C323+D323</f>
        <v>10799.6</v>
      </c>
      <c r="F323" s="7">
        <v>10799.6</v>
      </c>
      <c r="G323" s="7">
        <f t="shared" si="305"/>
        <v>10799.6</v>
      </c>
      <c r="H323" s="7">
        <f>+E323-F323</f>
        <v>0</v>
      </c>
    </row>
    <row r="324" spans="1:8" s="3" customFormat="1" x14ac:dyDescent="0.25">
      <c r="A324" s="1">
        <v>3.5</v>
      </c>
      <c r="B324" s="3" t="s">
        <v>47</v>
      </c>
      <c r="C324" s="13">
        <f>+C325+C328+C331+C326+C327+C329+C330</f>
        <v>5880000</v>
      </c>
      <c r="D324" s="13">
        <f t="shared" ref="D324:H324" si="318">+D325+D328+D331+D326+D327+D329+D330</f>
        <v>5606709.4799999995</v>
      </c>
      <c r="E324" s="13">
        <f t="shared" si="318"/>
        <v>11486709.48</v>
      </c>
      <c r="F324" s="13">
        <f>+F325+F328+F331+F326+F327+F329+F330</f>
        <v>11486709.48</v>
      </c>
      <c r="G324" s="13">
        <f t="shared" si="318"/>
        <v>11486709.48</v>
      </c>
      <c r="H324" s="13">
        <f t="shared" si="318"/>
        <v>0</v>
      </c>
    </row>
    <row r="325" spans="1:8" x14ac:dyDescent="0.25">
      <c r="A325" s="10" t="s">
        <v>170</v>
      </c>
      <c r="B325" s="2" t="s">
        <v>175</v>
      </c>
      <c r="C325" s="7">
        <v>50000</v>
      </c>
      <c r="D325" s="7">
        <f>3519529.66-C325</f>
        <v>3469529.66</v>
      </c>
      <c r="E325" s="7">
        <f t="shared" ref="E325:E331" si="319">+C325+D325</f>
        <v>3519529.66</v>
      </c>
      <c r="F325" s="7">
        <v>3519529.66</v>
      </c>
      <c r="G325" s="7">
        <f t="shared" ref="G325:G331" si="320">+F325</f>
        <v>3519529.66</v>
      </c>
      <c r="H325" s="7">
        <f t="shared" ref="H325:H331" si="321">+E325-F325</f>
        <v>0</v>
      </c>
    </row>
    <row r="326" spans="1:8" x14ac:dyDescent="0.25">
      <c r="A326" s="10" t="s">
        <v>266</v>
      </c>
      <c r="B326" s="2" t="s">
        <v>267</v>
      </c>
      <c r="C326" s="7">
        <v>50000</v>
      </c>
      <c r="D326" s="7">
        <f>0-C326</f>
        <v>-50000</v>
      </c>
      <c r="E326" s="7">
        <f t="shared" si="319"/>
        <v>0</v>
      </c>
      <c r="F326" s="7">
        <v>0</v>
      </c>
      <c r="G326" s="7">
        <f>+F326</f>
        <v>0</v>
      </c>
      <c r="H326" s="7">
        <f t="shared" si="321"/>
        <v>0</v>
      </c>
    </row>
    <row r="327" spans="1:8" x14ac:dyDescent="0.25">
      <c r="A327" s="10" t="s">
        <v>309</v>
      </c>
      <c r="B327" s="31" t="s">
        <v>311</v>
      </c>
      <c r="C327" s="7">
        <v>30000</v>
      </c>
      <c r="D327" s="7">
        <f>0-C327</f>
        <v>-30000</v>
      </c>
      <c r="E327" s="7">
        <f t="shared" ref="E327" si="322">+C327+D327</f>
        <v>0</v>
      </c>
      <c r="F327" s="7">
        <v>0</v>
      </c>
      <c r="G327" s="7">
        <f>+F327</f>
        <v>0</v>
      </c>
      <c r="H327" s="7">
        <f t="shared" ref="H327" si="323">+E327-F327</f>
        <v>0</v>
      </c>
    </row>
    <row r="328" spans="1:8" x14ac:dyDescent="0.25">
      <c r="A328" s="10" t="s">
        <v>171</v>
      </c>
      <c r="B328" s="2" t="s">
        <v>176</v>
      </c>
      <c r="C328" s="7">
        <v>1000000</v>
      </c>
      <c r="D328" s="7">
        <f>3232250.63-C328</f>
        <v>2232250.63</v>
      </c>
      <c r="E328" s="7">
        <f t="shared" si="319"/>
        <v>3232250.63</v>
      </c>
      <c r="F328" s="7">
        <v>3232250.63</v>
      </c>
      <c r="G328" s="7">
        <f t="shared" si="320"/>
        <v>3232250.63</v>
      </c>
      <c r="H328" s="7">
        <f t="shared" si="321"/>
        <v>0</v>
      </c>
    </row>
    <row r="329" spans="1:8" x14ac:dyDescent="0.25">
      <c r="A329" s="10" t="s">
        <v>312</v>
      </c>
      <c r="B329" s="31" t="s">
        <v>313</v>
      </c>
      <c r="C329" s="7">
        <v>50000</v>
      </c>
      <c r="D329" s="7">
        <f>9154.72-C329</f>
        <v>-40845.279999999999</v>
      </c>
      <c r="E329" s="7">
        <f t="shared" si="319"/>
        <v>9154.7200000000012</v>
      </c>
      <c r="F329" s="7">
        <v>9154.7199999999993</v>
      </c>
      <c r="G329" s="7">
        <f t="shared" si="320"/>
        <v>9154.7199999999993</v>
      </c>
      <c r="H329" s="7">
        <f t="shared" si="321"/>
        <v>0</v>
      </c>
    </row>
    <row r="330" spans="1:8" x14ac:dyDescent="0.25">
      <c r="A330" s="10" t="s">
        <v>172</v>
      </c>
      <c r="B330" s="31" t="s">
        <v>177</v>
      </c>
      <c r="C330" s="7">
        <v>500000</v>
      </c>
      <c r="D330" s="7">
        <f>0-C330</f>
        <v>-500000</v>
      </c>
      <c r="E330" s="7">
        <f t="shared" ref="E330" si="324">+C330+D330</f>
        <v>0</v>
      </c>
      <c r="F330" s="7">
        <v>0</v>
      </c>
      <c r="G330" s="7">
        <f t="shared" ref="G330" si="325">+F330</f>
        <v>0</v>
      </c>
      <c r="H330" s="7">
        <f t="shared" ref="H330" si="326">+E330-F330</f>
        <v>0</v>
      </c>
    </row>
    <row r="331" spans="1:8" x14ac:dyDescent="0.25">
      <c r="A331" s="10" t="s">
        <v>173</v>
      </c>
      <c r="B331" s="2" t="s">
        <v>178</v>
      </c>
      <c r="C331" s="7">
        <v>4200000</v>
      </c>
      <c r="D331" s="7">
        <f>4725774.47-C331</f>
        <v>525774.46999999974</v>
      </c>
      <c r="E331" s="7">
        <f t="shared" si="319"/>
        <v>4725774.47</v>
      </c>
      <c r="F331" s="7">
        <v>4725774.47</v>
      </c>
      <c r="G331" s="7">
        <f t="shared" si="320"/>
        <v>4725774.47</v>
      </c>
      <c r="H331" s="7">
        <f t="shared" si="321"/>
        <v>0</v>
      </c>
    </row>
    <row r="332" spans="1:8" s="3" customFormat="1" x14ac:dyDescent="0.25">
      <c r="A332" s="1" t="s">
        <v>352</v>
      </c>
      <c r="B332" s="31" t="s">
        <v>48</v>
      </c>
      <c r="C332" s="13">
        <f>+C333</f>
        <v>200000</v>
      </c>
      <c r="D332" s="13">
        <f t="shared" ref="D332:H332" si="327">+D333</f>
        <v>-200000</v>
      </c>
      <c r="E332" s="13">
        <f t="shared" si="327"/>
        <v>0</v>
      </c>
      <c r="F332" s="13">
        <f t="shared" si="327"/>
        <v>0</v>
      </c>
      <c r="G332" s="13">
        <f t="shared" si="327"/>
        <v>0</v>
      </c>
      <c r="H332" s="13">
        <f t="shared" si="327"/>
        <v>0</v>
      </c>
    </row>
    <row r="333" spans="1:8" x14ac:dyDescent="0.25">
      <c r="A333" s="10" t="s">
        <v>180</v>
      </c>
      <c r="B333" s="31" t="s">
        <v>181</v>
      </c>
      <c r="C333" s="7">
        <v>200000</v>
      </c>
      <c r="D333" s="7">
        <f>0-C333</f>
        <v>-200000</v>
      </c>
      <c r="E333" s="7">
        <f t="shared" ref="E333" si="328">+C333+D333</f>
        <v>0</v>
      </c>
      <c r="F333" s="7">
        <v>0</v>
      </c>
      <c r="G333" s="7">
        <f t="shared" ref="G333" si="329">+F333</f>
        <v>0</v>
      </c>
      <c r="H333" s="7">
        <f t="shared" ref="H333" si="330">+E333-F333</f>
        <v>0</v>
      </c>
    </row>
    <row r="334" spans="1:8" s="3" customFormat="1" x14ac:dyDescent="0.25">
      <c r="A334" s="1">
        <v>3.9</v>
      </c>
      <c r="B334" s="3" t="s">
        <v>26</v>
      </c>
      <c r="C334" s="13">
        <f>+C335+C336</f>
        <v>700000</v>
      </c>
      <c r="D334" s="13">
        <f t="shared" ref="D334:H334" si="331">+D335+D336</f>
        <v>-405992.63</v>
      </c>
      <c r="E334" s="13">
        <f t="shared" si="331"/>
        <v>294007.37</v>
      </c>
      <c r="F334" s="13">
        <f>+F335+F336</f>
        <v>294007.37</v>
      </c>
      <c r="G334" s="13">
        <f t="shared" si="331"/>
        <v>294007.37</v>
      </c>
      <c r="H334" s="13">
        <f t="shared" si="331"/>
        <v>0</v>
      </c>
    </row>
    <row r="335" spans="1:8" x14ac:dyDescent="0.25">
      <c r="A335" s="10" t="s">
        <v>194</v>
      </c>
      <c r="B335" s="2" t="s">
        <v>199</v>
      </c>
      <c r="C335" s="7">
        <v>200000</v>
      </c>
      <c r="D335" s="7">
        <f>5440-C335</f>
        <v>-194560</v>
      </c>
      <c r="E335" s="7">
        <f t="shared" ref="E335:E336" si="332">+C335+D335</f>
        <v>5440</v>
      </c>
      <c r="F335" s="7">
        <v>5440</v>
      </c>
      <c r="G335" s="7">
        <f t="shared" ref="G335:G336" si="333">+F335</f>
        <v>5440</v>
      </c>
      <c r="H335" s="7">
        <f t="shared" ref="H335:H336" si="334">+E335-F335</f>
        <v>0</v>
      </c>
    </row>
    <row r="336" spans="1:8" x14ac:dyDescent="0.25">
      <c r="A336" s="10" t="s">
        <v>198</v>
      </c>
      <c r="B336" s="2" t="s">
        <v>26</v>
      </c>
      <c r="C336" s="7">
        <v>500000</v>
      </c>
      <c r="D336" s="7">
        <f>288567.37-C336</f>
        <v>-211432.63</v>
      </c>
      <c r="E336" s="7">
        <f t="shared" si="332"/>
        <v>288567.37</v>
      </c>
      <c r="F336" s="7">
        <v>288567.37</v>
      </c>
      <c r="G336" s="7">
        <f t="shared" si="333"/>
        <v>288567.37</v>
      </c>
      <c r="H336" s="7">
        <f t="shared" si="334"/>
        <v>0</v>
      </c>
    </row>
    <row r="337" spans="1:9" s="3" customFormat="1" x14ac:dyDescent="0.25">
      <c r="A337" s="5">
        <v>5</v>
      </c>
      <c r="B337" s="4" t="s">
        <v>30</v>
      </c>
      <c r="C337" s="6">
        <f>+C338+C344+C348+C341+C346</f>
        <v>3800000</v>
      </c>
      <c r="D337" s="6">
        <f t="shared" ref="D337:H337" si="335">+D338+D344+D348+D341+D346</f>
        <v>-2826867.73</v>
      </c>
      <c r="E337" s="6">
        <f t="shared" si="335"/>
        <v>973132.27</v>
      </c>
      <c r="F337" s="6">
        <f t="shared" si="335"/>
        <v>973132.27</v>
      </c>
      <c r="G337" s="6">
        <f t="shared" si="335"/>
        <v>973132.27</v>
      </c>
      <c r="H337" s="6">
        <f t="shared" si="335"/>
        <v>0</v>
      </c>
    </row>
    <row r="338" spans="1:9" s="3" customFormat="1" x14ac:dyDescent="0.25">
      <c r="A338" s="1">
        <v>5.0999999999999996</v>
      </c>
      <c r="B338" s="3" t="s">
        <v>31</v>
      </c>
      <c r="C338" s="13">
        <f>+C339+C340</f>
        <v>300000</v>
      </c>
      <c r="D338" s="13">
        <f t="shared" ref="D338:H338" si="336">+D339+D340</f>
        <v>-219377.72</v>
      </c>
      <c r="E338" s="13">
        <f t="shared" si="336"/>
        <v>80622.28</v>
      </c>
      <c r="F338" s="13">
        <f t="shared" si="336"/>
        <v>80622.28</v>
      </c>
      <c r="G338" s="13">
        <f t="shared" si="336"/>
        <v>80622.28</v>
      </c>
      <c r="H338" s="13">
        <f t="shared" si="336"/>
        <v>0</v>
      </c>
    </row>
    <row r="339" spans="1:9" x14ac:dyDescent="0.25">
      <c r="A339" s="10" t="s">
        <v>228</v>
      </c>
      <c r="B339" s="2" t="s">
        <v>231</v>
      </c>
      <c r="C339" s="7">
        <v>200000</v>
      </c>
      <c r="D339" s="7">
        <f>32328-C339</f>
        <v>-167672</v>
      </c>
      <c r="E339" s="7">
        <f t="shared" ref="E339:E340" si="337">+C339+D339</f>
        <v>32328</v>
      </c>
      <c r="F339" s="7">
        <v>32328</v>
      </c>
      <c r="G339" s="7">
        <f t="shared" ref="G339:G340" si="338">+F339</f>
        <v>32328</v>
      </c>
      <c r="H339" s="7">
        <f t="shared" ref="H339:H340" si="339">+E339-F339</f>
        <v>0</v>
      </c>
    </row>
    <row r="340" spans="1:9" x14ac:dyDescent="0.25">
      <c r="A340" s="10" t="s">
        <v>229</v>
      </c>
      <c r="B340" s="2" t="s">
        <v>232</v>
      </c>
      <c r="C340" s="7">
        <v>100000</v>
      </c>
      <c r="D340" s="7">
        <f>48294.28-C340</f>
        <v>-51705.72</v>
      </c>
      <c r="E340" s="7">
        <f t="shared" si="337"/>
        <v>48294.28</v>
      </c>
      <c r="F340" s="7">
        <v>48294.28</v>
      </c>
      <c r="G340" s="7">
        <f t="shared" si="338"/>
        <v>48294.28</v>
      </c>
      <c r="H340" s="7">
        <f t="shared" si="339"/>
        <v>0</v>
      </c>
    </row>
    <row r="341" spans="1:9" s="3" customFormat="1" x14ac:dyDescent="0.25">
      <c r="A341" s="1" t="s">
        <v>353</v>
      </c>
      <c r="B341" s="31" t="s">
        <v>52</v>
      </c>
      <c r="C341" s="13">
        <f>+C342+C343</f>
        <v>800000</v>
      </c>
      <c r="D341" s="13">
        <f t="shared" ref="D341:H341" si="340">+D342+D343</f>
        <v>-695490</v>
      </c>
      <c r="E341" s="13">
        <f t="shared" si="340"/>
        <v>104510</v>
      </c>
      <c r="F341" s="13">
        <f>+F342+F343</f>
        <v>104510</v>
      </c>
      <c r="G341" s="13">
        <f t="shared" si="340"/>
        <v>104510</v>
      </c>
      <c r="H341" s="13">
        <f t="shared" si="340"/>
        <v>0</v>
      </c>
    </row>
    <row r="342" spans="1:9" x14ac:dyDescent="0.25">
      <c r="A342" s="10" t="s">
        <v>233</v>
      </c>
      <c r="B342" s="31" t="s">
        <v>236</v>
      </c>
      <c r="C342" s="7">
        <v>300000</v>
      </c>
      <c r="D342" s="7">
        <f>0-C342</f>
        <v>-300000</v>
      </c>
      <c r="E342" s="7">
        <f t="shared" ref="E342" si="341">+C342+D342</f>
        <v>0</v>
      </c>
      <c r="F342" s="7">
        <v>0</v>
      </c>
      <c r="G342" s="7">
        <f t="shared" ref="G342" si="342">+F342</f>
        <v>0</v>
      </c>
      <c r="H342" s="7">
        <f t="shared" ref="H342" si="343">+E342-F342</f>
        <v>0</v>
      </c>
    </row>
    <row r="343" spans="1:9" x14ac:dyDescent="0.25">
      <c r="A343" s="10" t="s">
        <v>234</v>
      </c>
      <c r="B343" s="31" t="s">
        <v>237</v>
      </c>
      <c r="C343" s="7">
        <v>500000</v>
      </c>
      <c r="D343" s="7">
        <f>104510-C343</f>
        <v>-395490</v>
      </c>
      <c r="E343" s="7">
        <f t="shared" ref="E343" si="344">+C343+D343</f>
        <v>104510</v>
      </c>
      <c r="F343" s="7">
        <v>104510</v>
      </c>
      <c r="G343" s="7">
        <f t="shared" ref="G343" si="345">+F343</f>
        <v>104510</v>
      </c>
      <c r="H343" s="7">
        <f t="shared" ref="H343" si="346">+E343-F343</f>
        <v>0</v>
      </c>
    </row>
    <row r="344" spans="1:9" s="3" customFormat="1" x14ac:dyDescent="0.25">
      <c r="A344" s="1">
        <v>5.4</v>
      </c>
      <c r="B344" s="3" t="s">
        <v>32</v>
      </c>
      <c r="C344" s="13">
        <f>+C345</f>
        <v>1600000</v>
      </c>
      <c r="D344" s="13">
        <f t="shared" ref="D344:H346" si="347">+D345</f>
        <v>-812000.01</v>
      </c>
      <c r="E344" s="13">
        <f t="shared" si="347"/>
        <v>787999.99</v>
      </c>
      <c r="F344" s="13">
        <f t="shared" si="347"/>
        <v>787999.99</v>
      </c>
      <c r="G344" s="13">
        <f t="shared" si="347"/>
        <v>787999.99</v>
      </c>
      <c r="H344" s="13">
        <f t="shared" si="347"/>
        <v>0</v>
      </c>
    </row>
    <row r="345" spans="1:9" x14ac:dyDescent="0.25">
      <c r="A345" s="10" t="s">
        <v>239</v>
      </c>
      <c r="B345" s="2" t="s">
        <v>240</v>
      </c>
      <c r="C345" s="7">
        <v>1600000</v>
      </c>
      <c r="D345" s="7">
        <f>787999.99-C345</f>
        <v>-812000.01</v>
      </c>
      <c r="E345" s="7">
        <f t="shared" ref="E345" si="348">+C345+D345</f>
        <v>787999.99</v>
      </c>
      <c r="F345" s="7">
        <v>787999.99</v>
      </c>
      <c r="G345" s="7">
        <f t="shared" si="305"/>
        <v>787999.99</v>
      </c>
      <c r="H345" s="7">
        <f t="shared" ref="H345" si="349">+E345-F345</f>
        <v>0</v>
      </c>
    </row>
    <row r="346" spans="1:9" s="3" customFormat="1" x14ac:dyDescent="0.25">
      <c r="A346" s="1" t="s">
        <v>354</v>
      </c>
      <c r="B346" s="31" t="s">
        <v>356</v>
      </c>
      <c r="C346" s="13">
        <f>+C347</f>
        <v>500000</v>
      </c>
      <c r="D346" s="13">
        <f t="shared" si="347"/>
        <v>-500000</v>
      </c>
      <c r="E346" s="13">
        <f t="shared" si="347"/>
        <v>0</v>
      </c>
      <c r="F346" s="13">
        <f t="shared" si="347"/>
        <v>0</v>
      </c>
      <c r="G346" s="13">
        <f t="shared" si="347"/>
        <v>0</v>
      </c>
      <c r="H346" s="13">
        <f t="shared" si="347"/>
        <v>0</v>
      </c>
    </row>
    <row r="347" spans="1:9" x14ac:dyDescent="0.25">
      <c r="A347" s="10" t="s">
        <v>355</v>
      </c>
      <c r="B347" s="31" t="s">
        <v>356</v>
      </c>
      <c r="C347" s="7">
        <v>500000</v>
      </c>
      <c r="D347" s="7">
        <f>0-C347</f>
        <v>-500000</v>
      </c>
      <c r="E347" s="7">
        <f t="shared" ref="E347" si="350">+C347+D347</f>
        <v>0</v>
      </c>
      <c r="F347" s="7">
        <v>0</v>
      </c>
      <c r="G347" s="7">
        <f t="shared" ref="G347" si="351">+F347</f>
        <v>0</v>
      </c>
      <c r="H347" s="7">
        <f t="shared" ref="H347" si="352">+E347-F347</f>
        <v>0</v>
      </c>
    </row>
    <row r="348" spans="1:9" s="3" customFormat="1" x14ac:dyDescent="0.25">
      <c r="A348" s="1">
        <v>5.6</v>
      </c>
      <c r="B348" s="3" t="s">
        <v>33</v>
      </c>
      <c r="C348" s="13">
        <f>+C349+C350</f>
        <v>600000</v>
      </c>
      <c r="D348" s="13">
        <f t="shared" ref="D348:H348" si="353">+D349+D350</f>
        <v>-600000</v>
      </c>
      <c r="E348" s="13">
        <f t="shared" si="353"/>
        <v>0</v>
      </c>
      <c r="F348" s="13">
        <f t="shared" si="353"/>
        <v>0</v>
      </c>
      <c r="G348" s="13">
        <f t="shared" si="353"/>
        <v>0</v>
      </c>
      <c r="H348" s="13">
        <f t="shared" si="353"/>
        <v>0</v>
      </c>
    </row>
    <row r="349" spans="1:9" x14ac:dyDescent="0.25">
      <c r="A349" s="10" t="s">
        <v>241</v>
      </c>
      <c r="B349" s="2" t="s">
        <v>244</v>
      </c>
      <c r="C349" s="7">
        <v>400000</v>
      </c>
      <c r="D349" s="7">
        <f>0-C349</f>
        <v>-400000</v>
      </c>
      <c r="E349" s="7">
        <f t="shared" ref="E349" si="354">+C349+D349</f>
        <v>0</v>
      </c>
      <c r="F349" s="7">
        <v>0</v>
      </c>
      <c r="G349" s="7">
        <f t="shared" ref="G349" si="355">+F349</f>
        <v>0</v>
      </c>
      <c r="H349" s="7">
        <f t="shared" ref="H349" si="356">+E349-F349</f>
        <v>0</v>
      </c>
    </row>
    <row r="350" spans="1:9" x14ac:dyDescent="0.25">
      <c r="A350" s="10" t="s">
        <v>243</v>
      </c>
      <c r="B350" s="2" t="s">
        <v>357</v>
      </c>
      <c r="C350" s="7">
        <v>200000</v>
      </c>
      <c r="D350" s="7">
        <f>0-C350</f>
        <v>-200000</v>
      </c>
      <c r="E350" s="7">
        <f t="shared" ref="E350" si="357">+C350+D350</f>
        <v>0</v>
      </c>
      <c r="F350" s="7">
        <v>0</v>
      </c>
      <c r="G350" s="7">
        <f t="shared" ref="G350" si="358">+F350</f>
        <v>0</v>
      </c>
      <c r="H350" s="7">
        <f t="shared" ref="H350" si="359">+E350-F350</f>
        <v>0</v>
      </c>
    </row>
    <row r="351" spans="1:9" x14ac:dyDescent="0.25">
      <c r="A351" s="5">
        <v>6</v>
      </c>
      <c r="B351" s="4" t="s">
        <v>35</v>
      </c>
      <c r="C351" s="6">
        <f>+C352</f>
        <v>11305342.640000001</v>
      </c>
      <c r="D351" s="6">
        <f t="shared" ref="D351:H351" si="360">+D352</f>
        <v>1521876.3599999994</v>
      </c>
      <c r="E351" s="6">
        <f t="shared" si="360"/>
        <v>12827219</v>
      </c>
      <c r="F351" s="6">
        <f t="shared" si="360"/>
        <v>12827219</v>
      </c>
      <c r="G351" s="6">
        <f t="shared" si="360"/>
        <v>6495360.2000000002</v>
      </c>
      <c r="H351" s="6">
        <f t="shared" si="360"/>
        <v>0</v>
      </c>
    </row>
    <row r="352" spans="1:9" s="3" customFormat="1" x14ac:dyDescent="0.25">
      <c r="A352" s="1">
        <v>6.1</v>
      </c>
      <c r="B352" s="3" t="s">
        <v>53</v>
      </c>
      <c r="C352" s="13">
        <f>C353+C355+C354</f>
        <v>11305342.640000001</v>
      </c>
      <c r="D352" s="13">
        <f>D353+D355+D354</f>
        <v>1521876.3599999994</v>
      </c>
      <c r="E352" s="13">
        <f>E353+E355+E354</f>
        <v>12827219</v>
      </c>
      <c r="F352" s="13">
        <f t="shared" ref="F352:H352" si="361">F353+F355+F354</f>
        <v>12827219</v>
      </c>
      <c r="G352" s="13">
        <f t="shared" si="361"/>
        <v>6495360.2000000002</v>
      </c>
      <c r="H352" s="13">
        <f t="shared" si="361"/>
        <v>0</v>
      </c>
      <c r="I352" s="13"/>
    </row>
    <row r="353" spans="1:10" x14ac:dyDescent="0.25">
      <c r="A353" s="10" t="s">
        <v>250</v>
      </c>
      <c r="B353" s="31" t="s">
        <v>258</v>
      </c>
      <c r="C353" s="7">
        <v>11305342.640000001</v>
      </c>
      <c r="D353" s="7">
        <f>0-C353</f>
        <v>-11305342.640000001</v>
      </c>
      <c r="E353" s="7">
        <f t="shared" ref="E353:E354" si="362">+C353+D353</f>
        <v>0</v>
      </c>
      <c r="F353" s="7">
        <v>0</v>
      </c>
      <c r="G353" s="7">
        <f>+F353</f>
        <v>0</v>
      </c>
      <c r="H353" s="7">
        <f t="shared" ref="H353:H354" si="363">+E353-F353</f>
        <v>0</v>
      </c>
    </row>
    <row r="354" spans="1:10" x14ac:dyDescent="0.25">
      <c r="A354" s="10" t="s">
        <v>251</v>
      </c>
      <c r="B354" s="2" t="s">
        <v>411</v>
      </c>
      <c r="C354" s="7">
        <v>0</v>
      </c>
      <c r="D354" s="7">
        <v>1000000</v>
      </c>
      <c r="E354" s="7">
        <f t="shared" si="362"/>
        <v>1000000</v>
      </c>
      <c r="F354" s="7">
        <v>1000000</v>
      </c>
      <c r="G354" s="7">
        <v>0</v>
      </c>
      <c r="H354" s="7">
        <f t="shared" si="363"/>
        <v>0</v>
      </c>
    </row>
    <row r="355" spans="1:10" x14ac:dyDescent="0.25">
      <c r="A355" s="10" t="s">
        <v>252</v>
      </c>
      <c r="B355" s="10" t="s">
        <v>279</v>
      </c>
      <c r="C355" s="7">
        <v>0</v>
      </c>
      <c r="D355" s="7">
        <v>11827219</v>
      </c>
      <c r="E355" s="7">
        <f t="shared" ref="E355" si="364">+C355+D355</f>
        <v>11827219</v>
      </c>
      <c r="F355" s="7">
        <v>11827219</v>
      </c>
      <c r="G355" s="7">
        <v>6495360.2000000002</v>
      </c>
      <c r="H355" s="7">
        <f t="shared" ref="H355" si="365">+E355-F355</f>
        <v>0</v>
      </c>
    </row>
    <row r="356" spans="1:10" s="3" customFormat="1" x14ac:dyDescent="0.25">
      <c r="A356" s="1"/>
      <c r="C356" s="6"/>
      <c r="D356" s="19"/>
      <c r="E356" s="19"/>
      <c r="F356" s="19"/>
      <c r="G356" s="19"/>
      <c r="H356" s="19"/>
    </row>
    <row r="357" spans="1:10" s="17" customFormat="1" ht="30.75" customHeight="1" x14ac:dyDescent="0.25">
      <c r="A357" s="37" t="s">
        <v>57</v>
      </c>
      <c r="B357" s="37"/>
      <c r="C357" s="16">
        <f>+C358+C361+C364</f>
        <v>1083114</v>
      </c>
      <c r="D357" s="16">
        <f t="shared" ref="D357:H357" si="366">+D358+D361+D364</f>
        <v>264241.18999999994</v>
      </c>
      <c r="E357" s="16">
        <f t="shared" si="366"/>
        <v>1347355.19</v>
      </c>
      <c r="F357" s="16">
        <f t="shared" si="366"/>
        <v>1237807.31</v>
      </c>
      <c r="G357" s="16">
        <f t="shared" si="366"/>
        <v>1237807.31</v>
      </c>
      <c r="H357" s="16">
        <f t="shared" si="366"/>
        <v>109547.87999999989</v>
      </c>
      <c r="J357" s="18"/>
    </row>
    <row r="358" spans="1:10" s="3" customFormat="1" x14ac:dyDescent="0.25">
      <c r="A358" s="5">
        <v>2</v>
      </c>
      <c r="B358" s="4" t="s">
        <v>17</v>
      </c>
      <c r="C358" s="6">
        <f>+C359</f>
        <v>1083114</v>
      </c>
      <c r="D358" s="6">
        <f t="shared" ref="D358:H359" si="367">+D359</f>
        <v>246641.66999999993</v>
      </c>
      <c r="E358" s="6">
        <f t="shared" si="367"/>
        <v>1329755.67</v>
      </c>
      <c r="F358" s="6">
        <f t="shared" si="367"/>
        <v>1220207.79</v>
      </c>
      <c r="G358" s="6">
        <f t="shared" si="367"/>
        <v>1220207.79</v>
      </c>
      <c r="H358" s="6">
        <f t="shared" si="367"/>
        <v>109547.87999999989</v>
      </c>
    </row>
    <row r="359" spans="1:10" s="3" customFormat="1" x14ac:dyDescent="0.25">
      <c r="A359" s="1">
        <v>2.6</v>
      </c>
      <c r="B359" s="3" t="s">
        <v>19</v>
      </c>
      <c r="C359" s="13">
        <f>+C360</f>
        <v>1083114</v>
      </c>
      <c r="D359" s="13">
        <f>+D360</f>
        <v>246641.66999999993</v>
      </c>
      <c r="E359" s="13">
        <f t="shared" si="367"/>
        <v>1329755.67</v>
      </c>
      <c r="F359" s="13">
        <f t="shared" si="367"/>
        <v>1220207.79</v>
      </c>
      <c r="G359" s="13">
        <f t="shared" si="367"/>
        <v>1220207.79</v>
      </c>
      <c r="H359" s="13">
        <f t="shared" si="367"/>
        <v>109547.87999999989</v>
      </c>
    </row>
    <row r="360" spans="1:10" x14ac:dyDescent="0.25">
      <c r="A360" s="10" t="s">
        <v>117</v>
      </c>
      <c r="B360" s="2" t="s">
        <v>19</v>
      </c>
      <c r="C360" s="7">
        <v>1083114</v>
      </c>
      <c r="D360" s="7">
        <f>1329755.67-C360</f>
        <v>246641.66999999993</v>
      </c>
      <c r="E360" s="7">
        <f>+C360+D360</f>
        <v>1329755.67</v>
      </c>
      <c r="F360" s="7">
        <v>1220207.79</v>
      </c>
      <c r="G360" s="7">
        <f t="shared" ref="G360" si="368">+F360</f>
        <v>1220207.79</v>
      </c>
      <c r="H360" s="7">
        <f t="shared" ref="H360" si="369">+E360-F360</f>
        <v>109547.87999999989</v>
      </c>
    </row>
    <row r="361" spans="1:10" s="3" customFormat="1" x14ac:dyDescent="0.25">
      <c r="A361" s="5">
        <v>3</v>
      </c>
      <c r="B361" s="4" t="s">
        <v>21</v>
      </c>
      <c r="C361" s="6">
        <f>+C362</f>
        <v>0</v>
      </c>
      <c r="D361" s="6">
        <f t="shared" ref="D361:H362" si="370">+D362</f>
        <v>948.92</v>
      </c>
      <c r="E361" s="6">
        <f t="shared" si="370"/>
        <v>948.92</v>
      </c>
      <c r="F361" s="6">
        <f t="shared" si="370"/>
        <v>948.92</v>
      </c>
      <c r="G361" s="6">
        <f t="shared" si="370"/>
        <v>948.92</v>
      </c>
      <c r="H361" s="6">
        <f t="shared" si="370"/>
        <v>0</v>
      </c>
    </row>
    <row r="362" spans="1:10" s="3" customFormat="1" x14ac:dyDescent="0.25">
      <c r="A362" s="1">
        <v>3.4</v>
      </c>
      <c r="B362" s="3" t="s">
        <v>46</v>
      </c>
      <c r="C362" s="13">
        <f>+C363</f>
        <v>0</v>
      </c>
      <c r="D362" s="13">
        <f t="shared" si="370"/>
        <v>948.92</v>
      </c>
      <c r="E362" s="13">
        <f t="shared" si="370"/>
        <v>948.92</v>
      </c>
      <c r="F362" s="13">
        <f t="shared" si="370"/>
        <v>948.92</v>
      </c>
      <c r="G362" s="13">
        <f t="shared" si="370"/>
        <v>948.92</v>
      </c>
      <c r="H362" s="13">
        <f t="shared" si="370"/>
        <v>0</v>
      </c>
    </row>
    <row r="363" spans="1:10" x14ac:dyDescent="0.25">
      <c r="A363" s="10" t="s">
        <v>166</v>
      </c>
      <c r="B363" s="2" t="s">
        <v>168</v>
      </c>
      <c r="C363" s="7">
        <v>0</v>
      </c>
      <c r="D363" s="7">
        <v>948.92</v>
      </c>
      <c r="E363" s="7">
        <f>+C363+D363</f>
        <v>948.92</v>
      </c>
      <c r="F363" s="7">
        <v>948.92</v>
      </c>
      <c r="G363" s="7">
        <f t="shared" ref="G363" si="371">+F363</f>
        <v>948.92</v>
      </c>
      <c r="H363" s="7">
        <f t="shared" ref="H363" si="372">+E363-F363</f>
        <v>0</v>
      </c>
    </row>
    <row r="364" spans="1:10" s="3" customFormat="1" x14ac:dyDescent="0.25">
      <c r="A364" s="5">
        <v>4</v>
      </c>
      <c r="B364" s="4" t="s">
        <v>49</v>
      </c>
      <c r="C364" s="6">
        <f>+C365</f>
        <v>0</v>
      </c>
      <c r="D364" s="6">
        <f t="shared" ref="D364:H364" si="373">+D365</f>
        <v>16650.599999999999</v>
      </c>
      <c r="E364" s="6">
        <f t="shared" si="373"/>
        <v>16650.599999999999</v>
      </c>
      <c r="F364" s="6">
        <f t="shared" si="373"/>
        <v>16650.599999999999</v>
      </c>
      <c r="G364" s="6">
        <f t="shared" si="373"/>
        <v>16650.599999999999</v>
      </c>
      <c r="H364" s="6">
        <f t="shared" si="373"/>
        <v>0</v>
      </c>
      <c r="I364" s="6"/>
    </row>
    <row r="365" spans="1:10" s="3" customFormat="1" x14ac:dyDescent="0.25">
      <c r="A365" s="1">
        <v>4.4000000000000004</v>
      </c>
      <c r="B365" s="3" t="s">
        <v>28</v>
      </c>
      <c r="C365" s="13">
        <f>+C366</f>
        <v>0</v>
      </c>
      <c r="D365" s="13">
        <f t="shared" ref="D365:H365" si="374">+D366</f>
        <v>16650.599999999999</v>
      </c>
      <c r="E365" s="13">
        <f t="shared" si="374"/>
        <v>16650.599999999999</v>
      </c>
      <c r="F365" s="13">
        <f t="shared" si="374"/>
        <v>16650.599999999999</v>
      </c>
      <c r="G365" s="13">
        <f t="shared" si="374"/>
        <v>16650.599999999999</v>
      </c>
      <c r="H365" s="13">
        <f t="shared" si="374"/>
        <v>0</v>
      </c>
      <c r="I365" s="29"/>
    </row>
    <row r="366" spans="1:10" x14ac:dyDescent="0.25">
      <c r="A366" s="10" t="s">
        <v>317</v>
      </c>
      <c r="B366" s="2" t="s">
        <v>318</v>
      </c>
      <c r="C366" s="7">
        <v>0</v>
      </c>
      <c r="D366" s="7">
        <v>16650.599999999999</v>
      </c>
      <c r="E366" s="7">
        <f>+C366+D366</f>
        <v>16650.599999999999</v>
      </c>
      <c r="F366" s="7">
        <v>16650.599999999999</v>
      </c>
      <c r="G366" s="7">
        <f t="shared" ref="G366" si="375">+F366</f>
        <v>16650.599999999999</v>
      </c>
      <c r="H366" s="7">
        <f t="shared" ref="H366" si="376">+E366-F366</f>
        <v>0</v>
      </c>
      <c r="I366" s="29"/>
    </row>
    <row r="367" spans="1:10" x14ac:dyDescent="0.25">
      <c r="A367" s="1"/>
      <c r="B367" s="3"/>
      <c r="C367" s="20"/>
      <c r="D367" s="21"/>
      <c r="E367" s="21"/>
      <c r="F367" s="21"/>
      <c r="G367" s="21"/>
      <c r="H367" s="21"/>
    </row>
    <row r="368" spans="1:10" s="17" customFormat="1" ht="32.25" customHeight="1" x14ac:dyDescent="0.25">
      <c r="A368" s="37" t="s">
        <v>58</v>
      </c>
      <c r="B368" s="37"/>
      <c r="C368" s="16">
        <f>+C369+C379</f>
        <v>5007689</v>
      </c>
      <c r="D368" s="16">
        <f t="shared" ref="D368:H368" si="377">+D369+D379</f>
        <v>-275547.31000000035</v>
      </c>
      <c r="E368" s="16">
        <f t="shared" si="377"/>
        <v>4732141.6899999995</v>
      </c>
      <c r="F368" s="16">
        <f t="shared" si="377"/>
        <v>4713924.66</v>
      </c>
      <c r="G368" s="16">
        <f t="shared" si="377"/>
        <v>4713924.66</v>
      </c>
      <c r="H368" s="16">
        <f t="shared" si="377"/>
        <v>18217.029999999329</v>
      </c>
      <c r="J368" s="18"/>
    </row>
    <row r="369" spans="1:10" s="3" customFormat="1" x14ac:dyDescent="0.25">
      <c r="A369" s="5">
        <v>2</v>
      </c>
      <c r="B369" s="4" t="s">
        <v>17</v>
      </c>
      <c r="C369" s="6">
        <f>+C374+C370+C372+C376</f>
        <v>4907689</v>
      </c>
      <c r="D369" s="6">
        <f t="shared" ref="D369:H369" si="378">+D374+D370+D372+D376</f>
        <v>-175547.31000000035</v>
      </c>
      <c r="E369" s="6">
        <f t="shared" si="378"/>
        <v>4732141.6899999995</v>
      </c>
      <c r="F369" s="6">
        <f t="shared" si="378"/>
        <v>4713924.66</v>
      </c>
      <c r="G369" s="6">
        <f t="shared" si="378"/>
        <v>4713924.66</v>
      </c>
      <c r="H369" s="6">
        <f t="shared" si="378"/>
        <v>18217.029999999329</v>
      </c>
    </row>
    <row r="370" spans="1:10" s="3" customFormat="1" x14ac:dyDescent="0.25">
      <c r="A370" s="1" t="s">
        <v>358</v>
      </c>
      <c r="B370" s="31" t="s">
        <v>64</v>
      </c>
      <c r="C370" s="13">
        <f>+C371</f>
        <v>200000</v>
      </c>
      <c r="D370" s="13">
        <f>+D371</f>
        <v>-139779.20000000001</v>
      </c>
      <c r="E370" s="13">
        <f t="shared" ref="E370:H374" si="379">+E371</f>
        <v>60220.799999999988</v>
      </c>
      <c r="F370" s="13">
        <f t="shared" si="379"/>
        <v>60220.800000000003</v>
      </c>
      <c r="G370" s="13">
        <f t="shared" si="379"/>
        <v>60220.800000000003</v>
      </c>
      <c r="H370" s="13">
        <f t="shared" si="379"/>
        <v>0</v>
      </c>
    </row>
    <row r="371" spans="1:10" x14ac:dyDescent="0.25">
      <c r="A371" s="10" t="s">
        <v>93</v>
      </c>
      <c r="B371" s="31" t="s">
        <v>99</v>
      </c>
      <c r="C371" s="7">
        <v>200000</v>
      </c>
      <c r="D371" s="7">
        <f>60220.8-C371</f>
        <v>-139779.20000000001</v>
      </c>
      <c r="E371" s="7">
        <f>+C371+D371</f>
        <v>60220.799999999988</v>
      </c>
      <c r="F371" s="7">
        <v>60220.800000000003</v>
      </c>
      <c r="G371" s="7">
        <f>+F371</f>
        <v>60220.800000000003</v>
      </c>
      <c r="H371" s="7">
        <f t="shared" ref="H371" si="380">+E371-F371</f>
        <v>0</v>
      </c>
    </row>
    <row r="372" spans="1:10" s="3" customFormat="1" x14ac:dyDescent="0.25">
      <c r="A372" s="1" t="s">
        <v>359</v>
      </c>
      <c r="B372" s="31" t="s">
        <v>41</v>
      </c>
      <c r="C372" s="13">
        <f>+C373</f>
        <v>100000</v>
      </c>
      <c r="D372" s="13">
        <f>+D373</f>
        <v>-100000</v>
      </c>
      <c r="E372" s="13">
        <f t="shared" si="379"/>
        <v>0</v>
      </c>
      <c r="F372" s="13">
        <f t="shared" si="379"/>
        <v>0</v>
      </c>
      <c r="G372" s="13">
        <f t="shared" si="379"/>
        <v>0</v>
      </c>
      <c r="H372" s="13">
        <f t="shared" si="379"/>
        <v>0</v>
      </c>
    </row>
    <row r="373" spans="1:10" x14ac:dyDescent="0.25">
      <c r="A373" s="10" t="s">
        <v>292</v>
      </c>
      <c r="B373" s="31" t="s">
        <v>360</v>
      </c>
      <c r="C373" s="7">
        <v>100000</v>
      </c>
      <c r="D373" s="7">
        <f>0-C373</f>
        <v>-100000</v>
      </c>
      <c r="E373" s="7">
        <f>+C373+D373</f>
        <v>0</v>
      </c>
      <c r="F373" s="7">
        <v>0</v>
      </c>
      <c r="G373" s="7">
        <f>+F373</f>
        <v>0</v>
      </c>
      <c r="H373" s="7">
        <f t="shared" ref="H373" si="381">+E373-F373</f>
        <v>0</v>
      </c>
    </row>
    <row r="374" spans="1:10" s="3" customFormat="1" x14ac:dyDescent="0.25">
      <c r="A374" s="1">
        <v>2.6</v>
      </c>
      <c r="B374" s="3" t="s">
        <v>19</v>
      </c>
      <c r="C374" s="13">
        <f>+C375</f>
        <v>4500000</v>
      </c>
      <c r="D374" s="13">
        <f>+D375</f>
        <v>171920.88999999966</v>
      </c>
      <c r="E374" s="13">
        <f t="shared" si="379"/>
        <v>4671920.8899999997</v>
      </c>
      <c r="F374" s="13">
        <f t="shared" si="379"/>
        <v>4653703.8600000003</v>
      </c>
      <c r="G374" s="13">
        <f t="shared" si="379"/>
        <v>4653703.8600000003</v>
      </c>
      <c r="H374" s="13">
        <f t="shared" si="379"/>
        <v>18217.029999999329</v>
      </c>
    </row>
    <row r="375" spans="1:10" x14ac:dyDescent="0.25">
      <c r="A375" s="10" t="s">
        <v>117</v>
      </c>
      <c r="B375" s="2" t="s">
        <v>19</v>
      </c>
      <c r="C375" s="7">
        <v>4500000</v>
      </c>
      <c r="D375" s="7">
        <f>4671920.89-C375</f>
        <v>171920.88999999966</v>
      </c>
      <c r="E375" s="7">
        <f>+C375+D375</f>
        <v>4671920.8899999997</v>
      </c>
      <c r="F375" s="7">
        <v>4653703.8600000003</v>
      </c>
      <c r="G375" s="7">
        <f>+F375</f>
        <v>4653703.8600000003</v>
      </c>
      <c r="H375" s="7">
        <f t="shared" ref="H375" si="382">+E375-F375</f>
        <v>18217.029999999329</v>
      </c>
    </row>
    <row r="376" spans="1:10" s="3" customFormat="1" x14ac:dyDescent="0.25">
      <c r="A376" s="1" t="s">
        <v>342</v>
      </c>
      <c r="B376" s="31" t="s">
        <v>44</v>
      </c>
      <c r="C376" s="13">
        <f>+C377+C378</f>
        <v>107689</v>
      </c>
      <c r="D376" s="13">
        <f t="shared" ref="D376:H376" si="383">+D377+D378</f>
        <v>-107689</v>
      </c>
      <c r="E376" s="13">
        <f t="shared" si="383"/>
        <v>0</v>
      </c>
      <c r="F376" s="13">
        <f t="shared" si="383"/>
        <v>0</v>
      </c>
      <c r="G376" s="13">
        <f t="shared" si="383"/>
        <v>0</v>
      </c>
      <c r="H376" s="13">
        <f t="shared" si="383"/>
        <v>0</v>
      </c>
    </row>
    <row r="377" spans="1:10" x14ac:dyDescent="0.25">
      <c r="A377" s="10" t="s">
        <v>132</v>
      </c>
      <c r="B377" s="31" t="s">
        <v>137</v>
      </c>
      <c r="C377" s="7">
        <v>50000</v>
      </c>
      <c r="D377" s="7">
        <f>0-C377</f>
        <v>-50000</v>
      </c>
      <c r="E377" s="7">
        <f>+C377+D377</f>
        <v>0</v>
      </c>
      <c r="F377" s="7">
        <v>0</v>
      </c>
      <c r="G377" s="7">
        <f>+F377</f>
        <v>0</v>
      </c>
      <c r="H377" s="7">
        <f t="shared" ref="H377" si="384">+E377-F377</f>
        <v>0</v>
      </c>
    </row>
    <row r="378" spans="1:10" x14ac:dyDescent="0.25">
      <c r="A378" s="10" t="s">
        <v>303</v>
      </c>
      <c r="B378" s="31" t="s">
        <v>304</v>
      </c>
      <c r="C378" s="7">
        <v>57689</v>
      </c>
      <c r="D378" s="7">
        <f>0-C378</f>
        <v>-57689</v>
      </c>
      <c r="E378" s="7">
        <f>+C378+D378</f>
        <v>0</v>
      </c>
      <c r="F378" s="7">
        <v>0</v>
      </c>
      <c r="G378" s="7">
        <f>+F378</f>
        <v>0</v>
      </c>
      <c r="H378" s="7">
        <f t="shared" ref="H378" si="385">+E378-F378</f>
        <v>0</v>
      </c>
    </row>
    <row r="379" spans="1:10" s="3" customFormat="1" x14ac:dyDescent="0.25">
      <c r="A379" s="5">
        <v>4</v>
      </c>
      <c r="B379" s="4" t="s">
        <v>49</v>
      </c>
      <c r="C379" s="6">
        <f>+C380</f>
        <v>100000</v>
      </c>
      <c r="D379" s="6">
        <f t="shared" ref="D379:H380" si="386">+D380</f>
        <v>-100000</v>
      </c>
      <c r="E379" s="6">
        <f t="shared" si="386"/>
        <v>0</v>
      </c>
      <c r="F379" s="6">
        <f t="shared" si="386"/>
        <v>0</v>
      </c>
      <c r="G379" s="6">
        <f t="shared" si="386"/>
        <v>0</v>
      </c>
      <c r="H379" s="6">
        <f t="shared" si="386"/>
        <v>0</v>
      </c>
    </row>
    <row r="380" spans="1:10" s="3" customFormat="1" x14ac:dyDescent="0.25">
      <c r="A380" s="1" t="s">
        <v>361</v>
      </c>
      <c r="B380" s="31" t="s">
        <v>28</v>
      </c>
      <c r="C380" s="13">
        <f>+C381</f>
        <v>100000</v>
      </c>
      <c r="D380" s="13">
        <f t="shared" si="386"/>
        <v>-100000</v>
      </c>
      <c r="E380" s="13">
        <f t="shared" si="386"/>
        <v>0</v>
      </c>
      <c r="F380" s="13">
        <f t="shared" si="386"/>
        <v>0</v>
      </c>
      <c r="G380" s="13">
        <f t="shared" si="386"/>
        <v>0</v>
      </c>
      <c r="H380" s="13">
        <f t="shared" si="386"/>
        <v>0</v>
      </c>
    </row>
    <row r="381" spans="1:10" x14ac:dyDescent="0.25">
      <c r="A381" s="10" t="s">
        <v>211</v>
      </c>
      <c r="B381" s="31" t="s">
        <v>216</v>
      </c>
      <c r="C381" s="7">
        <v>100000</v>
      </c>
      <c r="D381" s="7">
        <f>0-C381</f>
        <v>-100000</v>
      </c>
      <c r="E381" s="7">
        <f>+C381+D381</f>
        <v>0</v>
      </c>
      <c r="F381" s="7">
        <v>0</v>
      </c>
      <c r="G381" s="7">
        <f>+F381</f>
        <v>0</v>
      </c>
      <c r="H381" s="7">
        <f t="shared" ref="H381" si="387">+E381-F381</f>
        <v>0</v>
      </c>
    </row>
    <row r="382" spans="1:10" x14ac:dyDescent="0.25">
      <c r="A382" s="1"/>
      <c r="B382" s="3"/>
      <c r="C382" s="20"/>
      <c r="D382" s="21"/>
      <c r="E382" s="21"/>
      <c r="F382" s="21"/>
      <c r="G382" s="21"/>
      <c r="H382" s="21"/>
    </row>
    <row r="383" spans="1:10" s="17" customFormat="1" ht="15.75" x14ac:dyDescent="0.25">
      <c r="A383" s="37" t="s">
        <v>59</v>
      </c>
      <c r="B383" s="37"/>
      <c r="C383" s="16">
        <f>+C384+C408</f>
        <v>459883</v>
      </c>
      <c r="D383" s="16">
        <f t="shared" ref="D383:H383" si="388">+D384+D408</f>
        <v>464856.22000000009</v>
      </c>
      <c r="E383" s="16">
        <f t="shared" si="388"/>
        <v>924739.22</v>
      </c>
      <c r="F383" s="16">
        <f t="shared" si="388"/>
        <v>843502.63</v>
      </c>
      <c r="G383" s="16">
        <f t="shared" si="388"/>
        <v>843502.63</v>
      </c>
      <c r="H383" s="16">
        <f t="shared" si="388"/>
        <v>81236.59</v>
      </c>
      <c r="J383" s="18"/>
    </row>
    <row r="384" spans="1:10" s="3" customFormat="1" x14ac:dyDescent="0.25">
      <c r="A384" s="5">
        <v>2</v>
      </c>
      <c r="B384" s="4" t="s">
        <v>17</v>
      </c>
      <c r="C384" s="6">
        <f>+C385+C392+C395+C399+C401+C390</f>
        <v>459883</v>
      </c>
      <c r="D384" s="6">
        <f t="shared" ref="D384:H384" si="389">+D385+D392+D395+D399+D401+D390</f>
        <v>124290.81000000003</v>
      </c>
      <c r="E384" s="6">
        <f t="shared" si="389"/>
        <v>584173.80999999994</v>
      </c>
      <c r="F384" s="6">
        <f t="shared" si="389"/>
        <v>502937.22</v>
      </c>
      <c r="G384" s="6">
        <f t="shared" si="389"/>
        <v>502937.22</v>
      </c>
      <c r="H384" s="6">
        <f t="shared" si="389"/>
        <v>81236.59</v>
      </c>
    </row>
    <row r="385" spans="1:9" s="3" customFormat="1" x14ac:dyDescent="0.25">
      <c r="A385" s="22">
        <v>2.1</v>
      </c>
      <c r="B385" s="3" t="s">
        <v>64</v>
      </c>
      <c r="C385" s="13">
        <f>+C386+C389+C387+C388</f>
        <v>459883</v>
      </c>
      <c r="D385" s="13">
        <f t="shared" ref="D385:H385" si="390">+D386+D389+D387+D388</f>
        <v>-17610.939999999981</v>
      </c>
      <c r="E385" s="13">
        <f t="shared" si="390"/>
        <v>442272.06</v>
      </c>
      <c r="F385" s="13">
        <f>+F386+F389+F387+F388</f>
        <v>397072.06</v>
      </c>
      <c r="G385" s="13">
        <f t="shared" si="390"/>
        <v>397072.06</v>
      </c>
      <c r="H385" s="13">
        <f t="shared" si="390"/>
        <v>45200</v>
      </c>
    </row>
    <row r="386" spans="1:9" x14ac:dyDescent="0.25">
      <c r="A386" s="10" t="s">
        <v>93</v>
      </c>
      <c r="B386" s="2" t="s">
        <v>99</v>
      </c>
      <c r="C386" s="7">
        <v>250000</v>
      </c>
      <c r="D386" s="7">
        <f>332452.95-C386</f>
        <v>82452.950000000012</v>
      </c>
      <c r="E386" s="7">
        <f t="shared" ref="E386:E389" si="391">+C386+D386</f>
        <v>332452.95</v>
      </c>
      <c r="F386" s="7">
        <v>287252.95</v>
      </c>
      <c r="G386" s="7">
        <v>287252.95</v>
      </c>
      <c r="H386" s="7">
        <f t="shared" ref="H386:H389" si="392">+E386-F386</f>
        <v>45200</v>
      </c>
    </row>
    <row r="387" spans="1:9" x14ac:dyDescent="0.25">
      <c r="A387" s="10" t="s">
        <v>94</v>
      </c>
      <c r="B387" s="2" t="s">
        <v>362</v>
      </c>
      <c r="C387" s="7">
        <v>209883</v>
      </c>
      <c r="D387" s="7">
        <f>0-C387</f>
        <v>-209883</v>
      </c>
      <c r="E387" s="7">
        <f t="shared" ref="E387" si="393">+C387+D387</f>
        <v>0</v>
      </c>
      <c r="F387" s="7">
        <v>0</v>
      </c>
      <c r="G387" s="7">
        <f t="shared" ref="G387" si="394">+F387</f>
        <v>0</v>
      </c>
      <c r="H387" s="7">
        <f t="shared" ref="H387" si="395">+E387-F387</f>
        <v>0</v>
      </c>
    </row>
    <row r="388" spans="1:9" x14ac:dyDescent="0.25">
      <c r="A388" s="10" t="s">
        <v>95</v>
      </c>
      <c r="B388" s="2" t="s">
        <v>394</v>
      </c>
      <c r="C388" s="7">
        <v>0</v>
      </c>
      <c r="D388" s="7">
        <f>47900.54-C388</f>
        <v>47900.54</v>
      </c>
      <c r="E388" s="7">
        <f t="shared" ref="E388" si="396">+C388+D388</f>
        <v>47900.54</v>
      </c>
      <c r="F388" s="7">
        <v>47900.54</v>
      </c>
      <c r="G388" s="7">
        <f t="shared" ref="G388" si="397">+F388</f>
        <v>47900.54</v>
      </c>
      <c r="H388" s="7">
        <f t="shared" ref="H388" si="398">+E388-F388</f>
        <v>0</v>
      </c>
    </row>
    <row r="389" spans="1:9" x14ac:dyDescent="0.25">
      <c r="A389" s="10" t="s">
        <v>97</v>
      </c>
      <c r="B389" s="2" t="s">
        <v>103</v>
      </c>
      <c r="C389" s="7">
        <v>0</v>
      </c>
      <c r="D389" s="7">
        <f>61918.57-C389</f>
        <v>61918.57</v>
      </c>
      <c r="E389" s="7">
        <f t="shared" si="391"/>
        <v>61918.57</v>
      </c>
      <c r="F389" s="7">
        <v>61918.57</v>
      </c>
      <c r="G389" s="7">
        <f t="shared" ref="G389" si="399">+F389</f>
        <v>61918.57</v>
      </c>
      <c r="H389" s="7">
        <f t="shared" si="392"/>
        <v>0</v>
      </c>
    </row>
    <row r="390" spans="1:9" s="3" customFormat="1" x14ac:dyDescent="0.25">
      <c r="A390" s="1">
        <v>2.2000000000000002</v>
      </c>
      <c r="B390" s="3" t="s">
        <v>18</v>
      </c>
      <c r="C390" s="13">
        <f>+C391</f>
        <v>0</v>
      </c>
      <c r="D390" s="13">
        <f t="shared" ref="D390:H390" si="400">+D391</f>
        <v>37305.599999999999</v>
      </c>
      <c r="E390" s="13">
        <f t="shared" si="400"/>
        <v>37305.599999999999</v>
      </c>
      <c r="F390" s="13">
        <f t="shared" si="400"/>
        <v>37305.599999999999</v>
      </c>
      <c r="G390" s="13">
        <f t="shared" si="400"/>
        <v>37305.599999999999</v>
      </c>
      <c r="H390" s="13">
        <f t="shared" si="400"/>
        <v>0</v>
      </c>
      <c r="I390" s="29"/>
    </row>
    <row r="391" spans="1:9" x14ac:dyDescent="0.25">
      <c r="A391" s="10" t="s">
        <v>381</v>
      </c>
      <c r="B391" s="2" t="s">
        <v>382</v>
      </c>
      <c r="C391" s="7">
        <v>0</v>
      </c>
      <c r="D391" s="7">
        <v>37305.599999999999</v>
      </c>
      <c r="E391" s="7">
        <f t="shared" ref="E391" si="401">+C391+D391</f>
        <v>37305.599999999999</v>
      </c>
      <c r="F391" s="7">
        <v>37305.599999999999</v>
      </c>
      <c r="G391" s="7">
        <f t="shared" ref="G391" si="402">+F391</f>
        <v>37305.599999999999</v>
      </c>
      <c r="H391" s="7">
        <f t="shared" ref="H391" si="403">+E391-F391</f>
        <v>0</v>
      </c>
      <c r="I391" s="29"/>
    </row>
    <row r="392" spans="1:9" s="3" customFormat="1" x14ac:dyDescent="0.25">
      <c r="A392" s="1">
        <v>2.4</v>
      </c>
      <c r="B392" s="3" t="s">
        <v>41</v>
      </c>
      <c r="C392" s="13">
        <f t="shared" ref="C392:E392" si="404">+C393+C394</f>
        <v>0</v>
      </c>
      <c r="D392" s="13">
        <f t="shared" si="404"/>
        <v>54711.37</v>
      </c>
      <c r="E392" s="13">
        <f t="shared" si="404"/>
        <v>54711.37</v>
      </c>
      <c r="F392" s="13">
        <f>+F393+F394</f>
        <v>18674.78</v>
      </c>
      <c r="G392" s="13">
        <f t="shared" ref="G392:H392" si="405">+G393+G394</f>
        <v>18674.78</v>
      </c>
      <c r="H392" s="13">
        <f t="shared" si="405"/>
        <v>36036.590000000004</v>
      </c>
    </row>
    <row r="393" spans="1:9" x14ac:dyDescent="0.25">
      <c r="A393" s="10" t="s">
        <v>108</v>
      </c>
      <c r="B393" s="2" t="s">
        <v>111</v>
      </c>
      <c r="C393" s="7">
        <v>0</v>
      </c>
      <c r="D393" s="7">
        <v>52311.37</v>
      </c>
      <c r="E393" s="7">
        <f t="shared" ref="E393" si="406">+C393+D393</f>
        <v>52311.37</v>
      </c>
      <c r="F393" s="7">
        <v>16274.78</v>
      </c>
      <c r="G393" s="7">
        <f t="shared" ref="G393" si="407">+F393</f>
        <v>16274.78</v>
      </c>
      <c r="H393" s="7">
        <f>+E393-F393</f>
        <v>36036.590000000004</v>
      </c>
    </row>
    <row r="394" spans="1:9" x14ac:dyDescent="0.25">
      <c r="A394" s="10" t="s">
        <v>109</v>
      </c>
      <c r="B394" s="2" t="s">
        <v>395</v>
      </c>
      <c r="C394" s="7">
        <v>0</v>
      </c>
      <c r="D394" s="7">
        <f>2400-C394</f>
        <v>2400</v>
      </c>
      <c r="E394" s="7">
        <f t="shared" ref="E394" si="408">+C394+D394</f>
        <v>2400</v>
      </c>
      <c r="F394" s="7">
        <v>2400</v>
      </c>
      <c r="G394" s="7">
        <f t="shared" ref="G394" si="409">+F394</f>
        <v>2400</v>
      </c>
      <c r="H394" s="7">
        <f t="shared" ref="H394" si="410">+E394-F394</f>
        <v>0</v>
      </c>
    </row>
    <row r="395" spans="1:9" s="3" customFormat="1" x14ac:dyDescent="0.25">
      <c r="A395" s="1">
        <v>2.7</v>
      </c>
      <c r="B395" s="3" t="s">
        <v>43</v>
      </c>
      <c r="C395" s="13">
        <f>+C396+C398+C397</f>
        <v>0</v>
      </c>
      <c r="D395" s="13">
        <f t="shared" ref="D395:H395" si="411">+D396+D398+D397</f>
        <v>28000.080000000002</v>
      </c>
      <c r="E395" s="13">
        <f t="shared" si="411"/>
        <v>28000.080000000002</v>
      </c>
      <c r="F395" s="13">
        <f>+F396+F398+F397</f>
        <v>28000.080000000002</v>
      </c>
      <c r="G395" s="13">
        <f t="shared" si="411"/>
        <v>28000.080000000002</v>
      </c>
      <c r="H395" s="13">
        <f t="shared" si="411"/>
        <v>0</v>
      </c>
      <c r="I395" s="29"/>
    </row>
    <row r="396" spans="1:9" x14ac:dyDescent="0.25">
      <c r="A396" s="10" t="s">
        <v>118</v>
      </c>
      <c r="B396" s="2" t="s">
        <v>121</v>
      </c>
      <c r="C396" s="7">
        <v>0</v>
      </c>
      <c r="D396" s="7">
        <v>28000.080000000002</v>
      </c>
      <c r="E396" s="7">
        <f t="shared" ref="E396:E398" si="412">+C396+D396</f>
        <v>28000.080000000002</v>
      </c>
      <c r="F396" s="7">
        <v>28000.080000000002</v>
      </c>
      <c r="G396" s="7">
        <f t="shared" ref="G396:G398" si="413">+F396</f>
        <v>28000.080000000002</v>
      </c>
      <c r="H396" s="7">
        <f t="shared" ref="H396:H398" si="414">+E396-F396</f>
        <v>0</v>
      </c>
      <c r="I396" s="29"/>
    </row>
    <row r="397" spans="1:9" x14ac:dyDescent="0.25">
      <c r="A397" s="10" t="s">
        <v>119</v>
      </c>
      <c r="B397" s="2" t="s">
        <v>300</v>
      </c>
      <c r="C397" s="7">
        <v>0</v>
      </c>
      <c r="D397" s="7">
        <v>0</v>
      </c>
      <c r="E397" s="7">
        <f t="shared" si="412"/>
        <v>0</v>
      </c>
      <c r="F397" s="7">
        <v>0</v>
      </c>
      <c r="G397" s="7">
        <f t="shared" si="413"/>
        <v>0</v>
      </c>
      <c r="H397" s="7">
        <f t="shared" si="414"/>
        <v>0</v>
      </c>
      <c r="I397" s="29"/>
    </row>
    <row r="398" spans="1:9" x14ac:dyDescent="0.25">
      <c r="A398" s="10" t="s">
        <v>120</v>
      </c>
      <c r="B398" s="2" t="s">
        <v>123</v>
      </c>
      <c r="C398" s="7">
        <v>0</v>
      </c>
      <c r="D398" s="7">
        <v>0</v>
      </c>
      <c r="E398" s="7">
        <f t="shared" si="412"/>
        <v>0</v>
      </c>
      <c r="F398" s="7">
        <v>0</v>
      </c>
      <c r="G398" s="7">
        <f t="shared" si="413"/>
        <v>0</v>
      </c>
      <c r="H398" s="7">
        <f t="shared" si="414"/>
        <v>0</v>
      </c>
      <c r="I398" s="29"/>
    </row>
    <row r="399" spans="1:9" s="3" customFormat="1" x14ac:dyDescent="0.25">
      <c r="A399" s="1" t="s">
        <v>301</v>
      </c>
      <c r="B399" s="3" t="s">
        <v>20</v>
      </c>
      <c r="C399" s="13">
        <f>+C400</f>
        <v>0</v>
      </c>
      <c r="D399" s="13">
        <f t="shared" ref="D399:H399" si="415">+D400</f>
        <v>0</v>
      </c>
      <c r="E399" s="13">
        <f t="shared" si="415"/>
        <v>0</v>
      </c>
      <c r="F399" s="13">
        <f>+F400</f>
        <v>0</v>
      </c>
      <c r="G399" s="13">
        <f t="shared" si="415"/>
        <v>0</v>
      </c>
      <c r="H399" s="13">
        <f t="shared" si="415"/>
        <v>0</v>
      </c>
      <c r="I399" s="29"/>
    </row>
    <row r="400" spans="1:9" x14ac:dyDescent="0.25">
      <c r="A400" s="10" t="s">
        <v>125</v>
      </c>
      <c r="B400" s="2" t="s">
        <v>302</v>
      </c>
      <c r="C400" s="7">
        <v>0</v>
      </c>
      <c r="D400" s="7">
        <v>0</v>
      </c>
      <c r="E400" s="7">
        <f t="shared" ref="E400" si="416">+C400+D400</f>
        <v>0</v>
      </c>
      <c r="F400" s="7">
        <v>0</v>
      </c>
      <c r="G400" s="7">
        <f t="shared" ref="G400" si="417">+F400</f>
        <v>0</v>
      </c>
      <c r="H400" s="7">
        <f t="shared" ref="H400" si="418">+E400-F400</f>
        <v>0</v>
      </c>
      <c r="I400" s="29"/>
    </row>
    <row r="401" spans="1:9" s="3" customFormat="1" x14ac:dyDescent="0.25">
      <c r="A401" s="1">
        <v>2.9</v>
      </c>
      <c r="B401" s="3" t="s">
        <v>44</v>
      </c>
      <c r="C401" s="13">
        <f>+C402+C403+C404+C405+C406+C407</f>
        <v>0</v>
      </c>
      <c r="D401" s="13">
        <f t="shared" ref="D401:H401" si="419">+D402+D403+D404+D405+D406+D407</f>
        <v>21884.7</v>
      </c>
      <c r="E401" s="13">
        <f t="shared" si="419"/>
        <v>21884.7</v>
      </c>
      <c r="F401" s="13">
        <f>+F402+F403+F404+F405+F406+F407</f>
        <v>21884.7</v>
      </c>
      <c r="G401" s="13">
        <f t="shared" si="419"/>
        <v>21884.7</v>
      </c>
      <c r="H401" s="13">
        <f t="shared" si="419"/>
        <v>0</v>
      </c>
      <c r="I401" s="29"/>
    </row>
    <row r="402" spans="1:9" x14ac:dyDescent="0.25">
      <c r="A402" s="10" t="s">
        <v>128</v>
      </c>
      <c r="B402" s="2" t="s">
        <v>133</v>
      </c>
      <c r="C402" s="7">
        <v>0</v>
      </c>
      <c r="D402" s="7">
        <v>21884.7</v>
      </c>
      <c r="E402" s="7">
        <f t="shared" ref="E402" si="420">+C402+D402</f>
        <v>21884.7</v>
      </c>
      <c r="F402" s="7">
        <v>21884.7</v>
      </c>
      <c r="G402" s="7">
        <f t="shared" ref="G402" si="421">+F402</f>
        <v>21884.7</v>
      </c>
      <c r="H402" s="7">
        <f t="shared" ref="H402" si="422">+E402-F402</f>
        <v>0</v>
      </c>
      <c r="I402" s="29"/>
    </row>
    <row r="403" spans="1:9" x14ac:dyDescent="0.25">
      <c r="A403" s="10" t="s">
        <v>129</v>
      </c>
      <c r="B403" s="2" t="s">
        <v>134</v>
      </c>
      <c r="C403" s="7">
        <v>0</v>
      </c>
      <c r="D403" s="7">
        <v>0</v>
      </c>
      <c r="E403" s="7">
        <f t="shared" ref="E403:E407" si="423">+C403+D403</f>
        <v>0</v>
      </c>
      <c r="F403" s="7">
        <v>0</v>
      </c>
      <c r="G403" s="7">
        <f t="shared" ref="G403:G407" si="424">+F403</f>
        <v>0</v>
      </c>
      <c r="H403" s="7">
        <f t="shared" ref="H403:H407" si="425">+E403-F403</f>
        <v>0</v>
      </c>
      <c r="I403" s="29"/>
    </row>
    <row r="404" spans="1:9" x14ac:dyDescent="0.25">
      <c r="A404" s="10" t="s">
        <v>130</v>
      </c>
      <c r="B404" s="2" t="s">
        <v>135</v>
      </c>
      <c r="C404" s="7">
        <v>0</v>
      </c>
      <c r="D404" s="7">
        <v>0</v>
      </c>
      <c r="E404" s="7">
        <f t="shared" si="423"/>
        <v>0</v>
      </c>
      <c r="F404" s="7">
        <v>0</v>
      </c>
      <c r="G404" s="7">
        <f t="shared" si="424"/>
        <v>0</v>
      </c>
      <c r="H404" s="7">
        <f t="shared" si="425"/>
        <v>0</v>
      </c>
      <c r="I404" s="29"/>
    </row>
    <row r="405" spans="1:9" x14ac:dyDescent="0.25">
      <c r="A405" s="10" t="s">
        <v>131</v>
      </c>
      <c r="B405" s="2" t="s">
        <v>136</v>
      </c>
      <c r="C405" s="7">
        <v>0</v>
      </c>
      <c r="D405" s="7">
        <v>0</v>
      </c>
      <c r="E405" s="7">
        <f t="shared" si="423"/>
        <v>0</v>
      </c>
      <c r="F405" s="7">
        <v>0</v>
      </c>
      <c r="G405" s="7">
        <f t="shared" si="424"/>
        <v>0</v>
      </c>
      <c r="H405" s="7">
        <f t="shared" si="425"/>
        <v>0</v>
      </c>
      <c r="I405" s="29"/>
    </row>
    <row r="406" spans="1:9" x14ac:dyDescent="0.25">
      <c r="A406" s="10" t="s">
        <v>132</v>
      </c>
      <c r="B406" s="2" t="s">
        <v>137</v>
      </c>
      <c r="C406" s="7">
        <v>0</v>
      </c>
      <c r="D406" s="7">
        <v>0</v>
      </c>
      <c r="E406" s="7">
        <f t="shared" si="423"/>
        <v>0</v>
      </c>
      <c r="F406" s="7">
        <v>0</v>
      </c>
      <c r="G406" s="7">
        <f t="shared" si="424"/>
        <v>0</v>
      </c>
      <c r="H406" s="7">
        <f t="shared" si="425"/>
        <v>0</v>
      </c>
      <c r="I406" s="29"/>
    </row>
    <row r="407" spans="1:9" x14ac:dyDescent="0.25">
      <c r="A407" s="10" t="s">
        <v>303</v>
      </c>
      <c r="B407" s="2" t="s">
        <v>304</v>
      </c>
      <c r="C407" s="7">
        <v>0</v>
      </c>
      <c r="D407" s="7">
        <v>0</v>
      </c>
      <c r="E407" s="7">
        <f t="shared" si="423"/>
        <v>0</v>
      </c>
      <c r="F407" s="7">
        <v>0</v>
      </c>
      <c r="G407" s="7">
        <f t="shared" si="424"/>
        <v>0</v>
      </c>
      <c r="H407" s="7">
        <f t="shared" si="425"/>
        <v>0</v>
      </c>
      <c r="I407" s="29"/>
    </row>
    <row r="408" spans="1:9" s="3" customFormat="1" x14ac:dyDescent="0.25">
      <c r="A408" s="5">
        <v>3</v>
      </c>
      <c r="B408" s="4" t="s">
        <v>21</v>
      </c>
      <c r="C408" s="6">
        <f>+C409+C415+C424+C426+C431+C435</f>
        <v>0</v>
      </c>
      <c r="D408" s="6">
        <f t="shared" ref="D408:H408" si="426">+D409+D415+D424+D426+D431+D435</f>
        <v>340565.41000000003</v>
      </c>
      <c r="E408" s="6">
        <f t="shared" si="426"/>
        <v>340565.41000000003</v>
      </c>
      <c r="F408" s="6">
        <f t="shared" si="426"/>
        <v>340565.41000000003</v>
      </c>
      <c r="G408" s="6">
        <f t="shared" si="426"/>
        <v>340565.41000000003</v>
      </c>
      <c r="H408" s="6">
        <f t="shared" si="426"/>
        <v>0</v>
      </c>
      <c r="I408" s="29"/>
    </row>
    <row r="409" spans="1:9" s="3" customFormat="1" x14ac:dyDescent="0.25">
      <c r="A409" s="1">
        <v>3.2</v>
      </c>
      <c r="B409" s="3" t="s">
        <v>23</v>
      </c>
      <c r="C409" s="13">
        <f>+C410+C411+C413+C414+C412</f>
        <v>0</v>
      </c>
      <c r="D409" s="13">
        <f t="shared" ref="D409:H409" si="427">+D410+D411+D413+D414+D412</f>
        <v>10834.4</v>
      </c>
      <c r="E409" s="13">
        <f t="shared" si="427"/>
        <v>10834.4</v>
      </c>
      <c r="F409" s="13">
        <f t="shared" si="427"/>
        <v>10834.4</v>
      </c>
      <c r="G409" s="13">
        <f t="shared" si="427"/>
        <v>10834.4</v>
      </c>
      <c r="H409" s="13">
        <f t="shared" si="427"/>
        <v>0</v>
      </c>
      <c r="I409" s="29"/>
    </row>
    <row r="410" spans="1:9" x14ac:dyDescent="0.25">
      <c r="A410" s="10" t="s">
        <v>144</v>
      </c>
      <c r="B410" s="2" t="s">
        <v>148</v>
      </c>
      <c r="C410" s="7">
        <v>0</v>
      </c>
      <c r="D410" s="7">
        <v>0</v>
      </c>
      <c r="E410" s="7">
        <f t="shared" ref="E410:E414" si="428">+C410+D410</f>
        <v>0</v>
      </c>
      <c r="F410" s="7">
        <v>0</v>
      </c>
      <c r="G410" s="7">
        <f t="shared" ref="G410:G414" si="429">+F410</f>
        <v>0</v>
      </c>
      <c r="H410" s="7">
        <f t="shared" ref="H410:H414" si="430">+E410-F410</f>
        <v>0</v>
      </c>
      <c r="I410" s="29"/>
    </row>
    <row r="411" spans="1:9" x14ac:dyDescent="0.25">
      <c r="A411" s="10" t="s">
        <v>145</v>
      </c>
      <c r="B411" s="2" t="s">
        <v>149</v>
      </c>
      <c r="C411" s="7">
        <v>0</v>
      </c>
      <c r="D411" s="7">
        <v>1856</v>
      </c>
      <c r="E411" s="7">
        <f t="shared" si="428"/>
        <v>1856</v>
      </c>
      <c r="F411" s="7">
        <v>1856</v>
      </c>
      <c r="G411" s="7">
        <f t="shared" si="429"/>
        <v>1856</v>
      </c>
      <c r="H411" s="7">
        <f t="shared" si="430"/>
        <v>0</v>
      </c>
      <c r="I411" s="29"/>
    </row>
    <row r="412" spans="1:9" x14ac:dyDescent="0.25">
      <c r="A412" s="10" t="s">
        <v>383</v>
      </c>
      <c r="B412" s="2" t="s">
        <v>384</v>
      </c>
      <c r="C412" s="7">
        <v>0</v>
      </c>
      <c r="D412" s="7">
        <v>0</v>
      </c>
      <c r="E412" s="7">
        <f t="shared" si="428"/>
        <v>0</v>
      </c>
      <c r="F412" s="7">
        <v>0</v>
      </c>
      <c r="G412" s="7">
        <f t="shared" si="429"/>
        <v>0</v>
      </c>
      <c r="H412" s="7">
        <f t="shared" si="430"/>
        <v>0</v>
      </c>
      <c r="I412" s="29"/>
    </row>
    <row r="413" spans="1:9" x14ac:dyDescent="0.25">
      <c r="A413" s="10" t="s">
        <v>146</v>
      </c>
      <c r="B413" s="2" t="s">
        <v>150</v>
      </c>
      <c r="C413" s="7">
        <v>0</v>
      </c>
      <c r="D413" s="7">
        <v>0</v>
      </c>
      <c r="E413" s="7">
        <f t="shared" si="428"/>
        <v>0</v>
      </c>
      <c r="F413" s="7">
        <v>0</v>
      </c>
      <c r="G413" s="7">
        <f t="shared" si="429"/>
        <v>0</v>
      </c>
      <c r="H413" s="7">
        <f t="shared" si="430"/>
        <v>0</v>
      </c>
      <c r="I413" s="29"/>
    </row>
    <row r="414" spans="1:9" x14ac:dyDescent="0.25">
      <c r="A414" s="10" t="s">
        <v>147</v>
      </c>
      <c r="B414" s="2" t="s">
        <v>151</v>
      </c>
      <c r="C414" s="7">
        <v>0</v>
      </c>
      <c r="D414" s="7">
        <v>8978.4</v>
      </c>
      <c r="E414" s="7">
        <f t="shared" si="428"/>
        <v>8978.4</v>
      </c>
      <c r="F414" s="7">
        <v>8978.4</v>
      </c>
      <c r="G414" s="7">
        <f t="shared" si="429"/>
        <v>8978.4</v>
      </c>
      <c r="H414" s="7">
        <f t="shared" si="430"/>
        <v>0</v>
      </c>
      <c r="I414" s="29"/>
    </row>
    <row r="415" spans="1:9" s="3" customFormat="1" x14ac:dyDescent="0.25">
      <c r="A415" s="1">
        <v>3.5</v>
      </c>
      <c r="B415" s="3" t="s">
        <v>47</v>
      </c>
      <c r="C415" s="13">
        <f>+C416+C419+C421+C423+C417+C418+C420+C422</f>
        <v>0</v>
      </c>
      <c r="D415" s="13">
        <f t="shared" ref="D415:H415" si="431">+D416+D419+D421+D423+D417+D418+D420+D422</f>
        <v>174441.47999999998</v>
      </c>
      <c r="E415" s="13">
        <f t="shared" si="431"/>
        <v>174441.47999999998</v>
      </c>
      <c r="F415" s="13">
        <f>+F416+F419+F421+F423+F417+F418+F420+F422</f>
        <v>174441.47999999998</v>
      </c>
      <c r="G415" s="13">
        <f t="shared" si="431"/>
        <v>174441.47999999998</v>
      </c>
      <c r="H415" s="13">
        <f t="shared" si="431"/>
        <v>0</v>
      </c>
      <c r="I415" s="29"/>
    </row>
    <row r="416" spans="1:9" x14ac:dyDescent="0.25">
      <c r="A416" s="10" t="s">
        <v>170</v>
      </c>
      <c r="B416" s="2" t="s">
        <v>175</v>
      </c>
      <c r="C416" s="7">
        <v>0</v>
      </c>
      <c r="D416" s="7">
        <v>133882.01999999999</v>
      </c>
      <c r="E416" s="7">
        <f t="shared" ref="E416:E423" si="432">+C416+D416</f>
        <v>133882.01999999999</v>
      </c>
      <c r="F416" s="7">
        <v>133882.01999999999</v>
      </c>
      <c r="G416" s="7">
        <f t="shared" ref="G416:G423" si="433">+F416</f>
        <v>133882.01999999999</v>
      </c>
      <c r="H416" s="7">
        <f t="shared" ref="H416:H423" si="434">+E416-F416</f>
        <v>0</v>
      </c>
      <c r="I416" s="29"/>
    </row>
    <row r="417" spans="1:9" x14ac:dyDescent="0.25">
      <c r="A417" s="10" t="s">
        <v>266</v>
      </c>
      <c r="B417" s="2" t="s">
        <v>310</v>
      </c>
      <c r="C417" s="7">
        <v>0</v>
      </c>
      <c r="D417" s="7">
        <v>0</v>
      </c>
      <c r="E417" s="7">
        <f t="shared" si="432"/>
        <v>0</v>
      </c>
      <c r="F417" s="7">
        <v>0</v>
      </c>
      <c r="G417" s="7">
        <f t="shared" si="433"/>
        <v>0</v>
      </c>
      <c r="H417" s="7">
        <f t="shared" si="434"/>
        <v>0</v>
      </c>
      <c r="I417" s="29"/>
    </row>
    <row r="418" spans="1:9" x14ac:dyDescent="0.25">
      <c r="A418" s="10" t="s">
        <v>309</v>
      </c>
      <c r="B418" s="2" t="s">
        <v>311</v>
      </c>
      <c r="C418" s="7">
        <v>0</v>
      </c>
      <c r="D418" s="7">
        <v>0</v>
      </c>
      <c r="E418" s="7">
        <f t="shared" si="432"/>
        <v>0</v>
      </c>
      <c r="F418" s="7">
        <v>0</v>
      </c>
      <c r="G418" s="7">
        <f t="shared" si="433"/>
        <v>0</v>
      </c>
      <c r="H418" s="7">
        <f t="shared" si="434"/>
        <v>0</v>
      </c>
      <c r="I418" s="29"/>
    </row>
    <row r="419" spans="1:9" x14ac:dyDescent="0.25">
      <c r="A419" s="10" t="s">
        <v>171</v>
      </c>
      <c r="B419" s="2" t="s">
        <v>176</v>
      </c>
      <c r="C419" s="7">
        <v>0</v>
      </c>
      <c r="D419" s="7">
        <v>40559.46</v>
      </c>
      <c r="E419" s="7">
        <f t="shared" si="432"/>
        <v>40559.46</v>
      </c>
      <c r="F419" s="7">
        <v>40559.46</v>
      </c>
      <c r="G419" s="7">
        <f t="shared" si="433"/>
        <v>40559.46</v>
      </c>
      <c r="H419" s="7">
        <f t="shared" si="434"/>
        <v>0</v>
      </c>
      <c r="I419" s="29"/>
    </row>
    <row r="420" spans="1:9" x14ac:dyDescent="0.25">
      <c r="A420" s="10" t="s">
        <v>312</v>
      </c>
      <c r="B420" s="2" t="s">
        <v>313</v>
      </c>
      <c r="C420" s="7">
        <v>0</v>
      </c>
      <c r="D420" s="7">
        <v>0</v>
      </c>
      <c r="E420" s="7">
        <f t="shared" si="432"/>
        <v>0</v>
      </c>
      <c r="F420" s="7">
        <v>0</v>
      </c>
      <c r="G420" s="7">
        <f t="shared" si="433"/>
        <v>0</v>
      </c>
      <c r="H420" s="7">
        <f t="shared" si="434"/>
        <v>0</v>
      </c>
      <c r="I420" s="29"/>
    </row>
    <row r="421" spans="1:9" x14ac:dyDescent="0.25">
      <c r="A421" s="10" t="s">
        <v>172</v>
      </c>
      <c r="B421" s="2" t="s">
        <v>177</v>
      </c>
      <c r="C421" s="7">
        <v>0</v>
      </c>
      <c r="D421" s="7">
        <v>0</v>
      </c>
      <c r="E421" s="7">
        <f t="shared" si="432"/>
        <v>0</v>
      </c>
      <c r="F421" s="7">
        <v>0</v>
      </c>
      <c r="G421" s="7">
        <f t="shared" si="433"/>
        <v>0</v>
      </c>
      <c r="H421" s="7">
        <f t="shared" si="434"/>
        <v>0</v>
      </c>
      <c r="I421" s="29"/>
    </row>
    <row r="422" spans="1:9" x14ac:dyDescent="0.25">
      <c r="A422" s="10" t="s">
        <v>173</v>
      </c>
      <c r="B422" s="2" t="s">
        <v>178</v>
      </c>
      <c r="C422" s="7">
        <v>0</v>
      </c>
      <c r="D422" s="7">
        <v>0</v>
      </c>
      <c r="E422" s="7">
        <f t="shared" si="432"/>
        <v>0</v>
      </c>
      <c r="F422" s="7">
        <v>0</v>
      </c>
      <c r="G422" s="7">
        <f t="shared" si="433"/>
        <v>0</v>
      </c>
      <c r="H422" s="7">
        <f t="shared" si="434"/>
        <v>0</v>
      </c>
      <c r="I422" s="29"/>
    </row>
    <row r="423" spans="1:9" x14ac:dyDescent="0.25">
      <c r="A423" s="10" t="s">
        <v>174</v>
      </c>
      <c r="B423" s="2" t="s">
        <v>179</v>
      </c>
      <c r="C423" s="7">
        <v>0</v>
      </c>
      <c r="D423" s="7">
        <v>0</v>
      </c>
      <c r="E423" s="7">
        <f t="shared" si="432"/>
        <v>0</v>
      </c>
      <c r="F423" s="7">
        <v>0</v>
      </c>
      <c r="G423" s="7">
        <f t="shared" si="433"/>
        <v>0</v>
      </c>
      <c r="H423" s="7">
        <f t="shared" si="434"/>
        <v>0</v>
      </c>
      <c r="I423" s="29"/>
    </row>
    <row r="424" spans="1:9" s="3" customFormat="1" x14ac:dyDescent="0.25">
      <c r="A424" s="1">
        <v>3.6</v>
      </c>
      <c r="B424" s="3" t="s">
        <v>48</v>
      </c>
      <c r="C424" s="13">
        <f>+C425</f>
        <v>0</v>
      </c>
      <c r="D424" s="13">
        <f>+D425</f>
        <v>82630</v>
      </c>
      <c r="E424" s="13">
        <f>+E425</f>
        <v>82630</v>
      </c>
      <c r="F424" s="13">
        <f>+F425</f>
        <v>82630</v>
      </c>
      <c r="G424" s="13">
        <f t="shared" ref="G424:H424" si="435">+G425</f>
        <v>82630</v>
      </c>
      <c r="H424" s="13">
        <f t="shared" si="435"/>
        <v>0</v>
      </c>
      <c r="I424" s="29"/>
    </row>
    <row r="425" spans="1:9" x14ac:dyDescent="0.25">
      <c r="A425" s="10" t="s">
        <v>180</v>
      </c>
      <c r="B425" s="2" t="s">
        <v>181</v>
      </c>
      <c r="C425" s="7">
        <v>0</v>
      </c>
      <c r="D425" s="7">
        <v>82630</v>
      </c>
      <c r="E425" s="7">
        <f t="shared" ref="E425" si="436">+C425+D425</f>
        <v>82630</v>
      </c>
      <c r="F425" s="7">
        <v>82630</v>
      </c>
      <c r="G425" s="7">
        <f t="shared" ref="G425" si="437">+F425</f>
        <v>82630</v>
      </c>
      <c r="H425" s="7">
        <f t="shared" ref="H425" si="438">+E425-F425</f>
        <v>0</v>
      </c>
      <c r="I425" s="29"/>
    </row>
    <row r="426" spans="1:9" s="3" customFormat="1" x14ac:dyDescent="0.25">
      <c r="A426" s="1">
        <v>3.7</v>
      </c>
      <c r="B426" s="3" t="s">
        <v>24</v>
      </c>
      <c r="C426" s="13">
        <f>+C427+C428+C429+C430</f>
        <v>0</v>
      </c>
      <c r="D426" s="13">
        <f t="shared" ref="D426:H426" si="439">+D427+D428+D429+D430</f>
        <v>0</v>
      </c>
      <c r="E426" s="13">
        <f t="shared" si="439"/>
        <v>0</v>
      </c>
      <c r="F426" s="13">
        <f t="shared" si="439"/>
        <v>0</v>
      </c>
      <c r="G426" s="13">
        <f t="shared" si="439"/>
        <v>0</v>
      </c>
      <c r="H426" s="13">
        <f t="shared" si="439"/>
        <v>0</v>
      </c>
      <c r="I426" s="29"/>
    </row>
    <row r="427" spans="1:9" x14ac:dyDescent="0.25">
      <c r="A427" s="10" t="s">
        <v>182</v>
      </c>
      <c r="B427" s="2" t="s">
        <v>185</v>
      </c>
      <c r="C427" s="7">
        <v>0</v>
      </c>
      <c r="D427" s="7">
        <v>0</v>
      </c>
      <c r="E427" s="7">
        <f t="shared" ref="E427:E430" si="440">+C427+D427</f>
        <v>0</v>
      </c>
      <c r="F427" s="7">
        <v>0</v>
      </c>
      <c r="G427" s="7">
        <f t="shared" ref="G427:G430" si="441">+F427</f>
        <v>0</v>
      </c>
      <c r="H427" s="7">
        <f t="shared" ref="H427:H430" si="442">+E427-F427</f>
        <v>0</v>
      </c>
      <c r="I427" s="29"/>
    </row>
    <row r="428" spans="1:9" x14ac:dyDescent="0.25">
      <c r="A428" s="10" t="s">
        <v>183</v>
      </c>
      <c r="B428" s="2" t="s">
        <v>314</v>
      </c>
      <c r="C428" s="7">
        <v>0</v>
      </c>
      <c r="D428" s="7">
        <v>0</v>
      </c>
      <c r="E428" s="7">
        <f t="shared" si="440"/>
        <v>0</v>
      </c>
      <c r="F428" s="7">
        <v>0</v>
      </c>
      <c r="G428" s="7">
        <f t="shared" si="441"/>
        <v>0</v>
      </c>
      <c r="H428" s="7">
        <f t="shared" si="442"/>
        <v>0</v>
      </c>
      <c r="I428" s="29"/>
    </row>
    <row r="429" spans="1:9" x14ac:dyDescent="0.25">
      <c r="A429" s="10" t="s">
        <v>315</v>
      </c>
      <c r="B429" s="2" t="s">
        <v>316</v>
      </c>
      <c r="C429" s="7">
        <v>0</v>
      </c>
      <c r="D429" s="7">
        <v>0</v>
      </c>
      <c r="E429" s="7">
        <f t="shared" si="440"/>
        <v>0</v>
      </c>
      <c r="F429" s="7">
        <v>0</v>
      </c>
      <c r="G429" s="7">
        <f t="shared" si="441"/>
        <v>0</v>
      </c>
      <c r="H429" s="7">
        <f t="shared" si="442"/>
        <v>0</v>
      </c>
      <c r="I429" s="29"/>
    </row>
    <row r="430" spans="1:9" x14ac:dyDescent="0.25">
      <c r="A430" s="10" t="s">
        <v>184</v>
      </c>
      <c r="B430" s="2" t="s">
        <v>187</v>
      </c>
      <c r="C430" s="7">
        <v>0</v>
      </c>
      <c r="D430" s="7">
        <v>0</v>
      </c>
      <c r="E430" s="7">
        <f t="shared" si="440"/>
        <v>0</v>
      </c>
      <c r="F430" s="7">
        <v>0</v>
      </c>
      <c r="G430" s="7">
        <f t="shared" si="441"/>
        <v>0</v>
      </c>
      <c r="H430" s="7">
        <f t="shared" si="442"/>
        <v>0</v>
      </c>
      <c r="I430" s="29"/>
    </row>
    <row r="431" spans="1:9" s="3" customFormat="1" x14ac:dyDescent="0.25">
      <c r="A431" s="1">
        <v>3.8</v>
      </c>
      <c r="B431" s="3" t="s">
        <v>25</v>
      </c>
      <c r="C431" s="13">
        <f>+C432+C433+C434</f>
        <v>0</v>
      </c>
      <c r="D431" s="13">
        <f>+D432+D433+D434</f>
        <v>0</v>
      </c>
      <c r="E431" s="13">
        <f>+E432+E433+E434</f>
        <v>0</v>
      </c>
      <c r="F431" s="13">
        <f>+F432+F433+F434</f>
        <v>0</v>
      </c>
      <c r="G431" s="13">
        <f t="shared" ref="G431:H431" si="443">+G432+G433+G434</f>
        <v>0</v>
      </c>
      <c r="H431" s="13">
        <f t="shared" si="443"/>
        <v>0</v>
      </c>
      <c r="I431" s="29"/>
    </row>
    <row r="432" spans="1:9" x14ac:dyDescent="0.25">
      <c r="A432" s="10" t="s">
        <v>188</v>
      </c>
      <c r="B432" s="2" t="s">
        <v>191</v>
      </c>
      <c r="C432" s="7">
        <v>0</v>
      </c>
      <c r="D432" s="7">
        <v>0</v>
      </c>
      <c r="E432" s="7">
        <f t="shared" ref="E432:E434" si="444">+C432+D432</f>
        <v>0</v>
      </c>
      <c r="F432" s="7">
        <v>0</v>
      </c>
      <c r="G432" s="7">
        <f t="shared" ref="G432:G434" si="445">+F432</f>
        <v>0</v>
      </c>
      <c r="H432" s="7">
        <f t="shared" ref="H432:H434" si="446">+E432-F432</f>
        <v>0</v>
      </c>
      <c r="I432" s="29"/>
    </row>
    <row r="433" spans="1:10" x14ac:dyDescent="0.25">
      <c r="A433" s="10" t="s">
        <v>189</v>
      </c>
      <c r="B433" s="2" t="s">
        <v>192</v>
      </c>
      <c r="C433" s="7">
        <v>0</v>
      </c>
      <c r="D433" s="7">
        <v>0</v>
      </c>
      <c r="E433" s="7">
        <f t="shared" si="444"/>
        <v>0</v>
      </c>
      <c r="F433" s="7">
        <v>0</v>
      </c>
      <c r="G433" s="7">
        <f t="shared" si="445"/>
        <v>0</v>
      </c>
      <c r="H433" s="7">
        <f t="shared" si="446"/>
        <v>0</v>
      </c>
      <c r="I433" s="29"/>
    </row>
    <row r="434" spans="1:10" x14ac:dyDescent="0.25">
      <c r="A434" s="10" t="s">
        <v>190</v>
      </c>
      <c r="B434" s="2" t="s">
        <v>193</v>
      </c>
      <c r="C434" s="7">
        <v>0</v>
      </c>
      <c r="D434" s="7">
        <v>0</v>
      </c>
      <c r="E434" s="7">
        <f t="shared" si="444"/>
        <v>0</v>
      </c>
      <c r="F434" s="7">
        <v>0</v>
      </c>
      <c r="G434" s="7">
        <f t="shared" si="445"/>
        <v>0</v>
      </c>
      <c r="H434" s="7">
        <f t="shared" si="446"/>
        <v>0</v>
      </c>
      <c r="I434" s="29"/>
    </row>
    <row r="435" spans="1:10" s="3" customFormat="1" x14ac:dyDescent="0.25">
      <c r="A435" s="1">
        <v>3.9</v>
      </c>
      <c r="B435" s="3" t="s">
        <v>26</v>
      </c>
      <c r="C435" s="13">
        <f t="shared" ref="C435:H435" si="447">+C436+C437+C438+C439+C1612+C440</f>
        <v>0</v>
      </c>
      <c r="D435" s="13">
        <f t="shared" si="447"/>
        <v>72659.53</v>
      </c>
      <c r="E435" s="13">
        <f t="shared" si="447"/>
        <v>72659.53</v>
      </c>
      <c r="F435" s="13">
        <f t="shared" si="447"/>
        <v>72659.53</v>
      </c>
      <c r="G435" s="13">
        <f t="shared" si="447"/>
        <v>72659.53</v>
      </c>
      <c r="H435" s="13">
        <f t="shared" si="447"/>
        <v>0</v>
      </c>
      <c r="I435" s="29"/>
    </row>
    <row r="436" spans="1:10" x14ac:dyDescent="0.25">
      <c r="A436" s="10" t="s">
        <v>194</v>
      </c>
      <c r="B436" s="2" t="s">
        <v>199</v>
      </c>
      <c r="C436" s="7">
        <v>0</v>
      </c>
      <c r="D436" s="7">
        <v>0</v>
      </c>
      <c r="E436" s="7">
        <f t="shared" ref="E436:E440" si="448">+C436+D436</f>
        <v>0</v>
      </c>
      <c r="F436" s="7">
        <v>0</v>
      </c>
      <c r="G436" s="7">
        <f t="shared" ref="G436:G440" si="449">+F436</f>
        <v>0</v>
      </c>
      <c r="H436" s="7">
        <f t="shared" ref="H436:H440" si="450">+E436-F436</f>
        <v>0</v>
      </c>
      <c r="I436" s="29"/>
    </row>
    <row r="437" spans="1:10" x14ac:dyDescent="0.25">
      <c r="A437" s="10" t="s">
        <v>195</v>
      </c>
      <c r="B437" s="2" t="s">
        <v>200</v>
      </c>
      <c r="C437" s="7">
        <v>0</v>
      </c>
      <c r="D437" s="7">
        <v>0</v>
      </c>
      <c r="E437" s="7">
        <f t="shared" si="448"/>
        <v>0</v>
      </c>
      <c r="F437" s="7">
        <v>0</v>
      </c>
      <c r="G437" s="7">
        <f t="shared" si="449"/>
        <v>0</v>
      </c>
      <c r="H437" s="7">
        <f t="shared" si="450"/>
        <v>0</v>
      </c>
      <c r="I437" s="29"/>
    </row>
    <row r="438" spans="1:10" x14ac:dyDescent="0.25">
      <c r="A438" s="10" t="s">
        <v>196</v>
      </c>
      <c r="B438" s="2" t="s">
        <v>201</v>
      </c>
      <c r="C438" s="7">
        <v>0</v>
      </c>
      <c r="D438" s="7">
        <v>0</v>
      </c>
      <c r="E438" s="7">
        <f t="shared" si="448"/>
        <v>0</v>
      </c>
      <c r="F438" s="7">
        <v>0</v>
      </c>
      <c r="G438" s="7">
        <f t="shared" si="449"/>
        <v>0</v>
      </c>
      <c r="H438" s="7">
        <f t="shared" si="450"/>
        <v>0</v>
      </c>
      <c r="I438" s="29"/>
    </row>
    <row r="439" spans="1:10" x14ac:dyDescent="0.25">
      <c r="A439" s="10" t="s">
        <v>197</v>
      </c>
      <c r="B439" s="2" t="s">
        <v>202</v>
      </c>
      <c r="C439" s="7">
        <v>0</v>
      </c>
      <c r="D439" s="7">
        <v>0</v>
      </c>
      <c r="E439" s="7">
        <f t="shared" si="448"/>
        <v>0</v>
      </c>
      <c r="F439" s="7">
        <v>0</v>
      </c>
      <c r="G439" s="7">
        <f t="shared" si="449"/>
        <v>0</v>
      </c>
      <c r="H439" s="7">
        <f t="shared" si="450"/>
        <v>0</v>
      </c>
      <c r="I439" s="29"/>
    </row>
    <row r="440" spans="1:10" x14ac:dyDescent="0.25">
      <c r="A440" s="10" t="s">
        <v>198</v>
      </c>
      <c r="B440" s="2" t="s">
        <v>26</v>
      </c>
      <c r="C440" s="7">
        <v>0</v>
      </c>
      <c r="D440" s="7">
        <f>72659.53</f>
        <v>72659.53</v>
      </c>
      <c r="E440" s="7">
        <f t="shared" si="448"/>
        <v>72659.53</v>
      </c>
      <c r="F440" s="7">
        <f>71059.56+1599.97</f>
        <v>72659.53</v>
      </c>
      <c r="G440" s="7">
        <f t="shared" si="449"/>
        <v>72659.53</v>
      </c>
      <c r="H440" s="7">
        <f t="shared" si="450"/>
        <v>0</v>
      </c>
      <c r="I440" s="29"/>
    </row>
    <row r="441" spans="1:10" ht="15.75" customHeight="1" x14ac:dyDescent="0.25">
      <c r="A441" s="1"/>
      <c r="B441" s="3"/>
      <c r="C441" s="20"/>
      <c r="D441" s="21"/>
      <c r="E441" s="21"/>
      <c r="F441" s="21"/>
      <c r="G441" s="21"/>
      <c r="H441" s="21"/>
    </row>
    <row r="442" spans="1:10" s="17" customFormat="1" ht="29.25" customHeight="1" x14ac:dyDescent="0.25">
      <c r="A442" s="37" t="s">
        <v>60</v>
      </c>
      <c r="B442" s="37"/>
      <c r="C442" s="16">
        <f>+C443+C448+C454</f>
        <v>162448</v>
      </c>
      <c r="D442" s="16">
        <f t="shared" ref="D442:H442" si="451">+D443+D448+D454</f>
        <v>14105.979999999996</v>
      </c>
      <c r="E442" s="16">
        <f t="shared" si="451"/>
        <v>176553.97999999998</v>
      </c>
      <c r="F442" s="16">
        <f t="shared" si="451"/>
        <v>161847.26</v>
      </c>
      <c r="G442" s="16">
        <f t="shared" si="451"/>
        <v>161847.26</v>
      </c>
      <c r="H442" s="16">
        <f t="shared" si="451"/>
        <v>14706.720000000001</v>
      </c>
      <c r="J442" s="18"/>
    </row>
    <row r="443" spans="1:10" s="3" customFormat="1" x14ac:dyDescent="0.25">
      <c r="A443" s="5">
        <v>2</v>
      </c>
      <c r="B443" s="4" t="s">
        <v>17</v>
      </c>
      <c r="C443" s="6">
        <f>+C444</f>
        <v>50000</v>
      </c>
      <c r="D443" s="6">
        <f t="shared" ref="D443:H443" si="452">+D444</f>
        <v>126553.98</v>
      </c>
      <c r="E443" s="6">
        <f t="shared" si="452"/>
        <v>176553.97999999998</v>
      </c>
      <c r="F443" s="6">
        <f t="shared" si="452"/>
        <v>161847.26</v>
      </c>
      <c r="G443" s="6">
        <f t="shared" si="452"/>
        <v>161847.26</v>
      </c>
      <c r="H443" s="6">
        <f t="shared" si="452"/>
        <v>14706.720000000001</v>
      </c>
    </row>
    <row r="444" spans="1:10" s="3" customFormat="1" x14ac:dyDescent="0.25">
      <c r="A444" s="22">
        <v>2.1</v>
      </c>
      <c r="B444" s="3" t="s">
        <v>64</v>
      </c>
      <c r="C444" s="13">
        <f>+C445+C446+C447</f>
        <v>50000</v>
      </c>
      <c r="D444" s="13">
        <f t="shared" ref="D444:H444" si="453">+D445+D446+D447</f>
        <v>126553.98</v>
      </c>
      <c r="E444" s="13">
        <f t="shared" si="453"/>
        <v>176553.97999999998</v>
      </c>
      <c r="F444" s="13">
        <f t="shared" si="453"/>
        <v>161847.26</v>
      </c>
      <c r="G444" s="13">
        <f t="shared" si="453"/>
        <v>161847.26</v>
      </c>
      <c r="H444" s="13">
        <f t="shared" si="453"/>
        <v>14706.720000000001</v>
      </c>
    </row>
    <row r="445" spans="1:10" x14ac:dyDescent="0.25">
      <c r="A445" s="10" t="s">
        <v>93</v>
      </c>
      <c r="B445" s="2" t="s">
        <v>99</v>
      </c>
      <c r="C445" s="7">
        <v>25000</v>
      </c>
      <c r="D445" s="7">
        <f>108484.25-C445</f>
        <v>83484.25</v>
      </c>
      <c r="E445" s="7">
        <f t="shared" ref="E445" si="454">+C445+D445</f>
        <v>108484.25</v>
      </c>
      <c r="F445" s="7">
        <v>93777.53</v>
      </c>
      <c r="G445" s="7">
        <f t="shared" ref="G445" si="455">+F445</f>
        <v>93777.53</v>
      </c>
      <c r="H445" s="7">
        <f t="shared" ref="H445" si="456">+E445-F445</f>
        <v>14706.720000000001</v>
      </c>
    </row>
    <row r="446" spans="1:10" x14ac:dyDescent="0.25">
      <c r="A446" s="10" t="s">
        <v>94</v>
      </c>
      <c r="B446" s="2" t="s">
        <v>362</v>
      </c>
      <c r="C446" s="7">
        <v>25000</v>
      </c>
      <c r="D446" s="7">
        <f>0-C446</f>
        <v>-25000</v>
      </c>
      <c r="E446" s="7">
        <f t="shared" ref="E446" si="457">+C446+D446</f>
        <v>0</v>
      </c>
      <c r="F446" s="7">
        <v>0</v>
      </c>
      <c r="G446" s="7">
        <f t="shared" ref="G446" si="458">+F446</f>
        <v>0</v>
      </c>
      <c r="H446" s="7">
        <f t="shared" ref="H446" si="459">+E446-F446</f>
        <v>0</v>
      </c>
    </row>
    <row r="447" spans="1:10" x14ac:dyDescent="0.25">
      <c r="A447" s="10" t="s">
        <v>95</v>
      </c>
      <c r="B447" s="2" t="s">
        <v>396</v>
      </c>
      <c r="C447" s="7">
        <v>0</v>
      </c>
      <c r="D447" s="7">
        <f>68069.73-C447</f>
        <v>68069.73</v>
      </c>
      <c r="E447" s="7">
        <f t="shared" ref="E447" si="460">+C447+D447</f>
        <v>68069.73</v>
      </c>
      <c r="F447" s="7">
        <v>68069.73</v>
      </c>
      <c r="G447" s="7">
        <f t="shared" ref="G447" si="461">+F447</f>
        <v>68069.73</v>
      </c>
      <c r="H447" s="7">
        <f t="shared" ref="H447" si="462">+E447-F447</f>
        <v>0</v>
      </c>
    </row>
    <row r="448" spans="1:10" s="3" customFormat="1" x14ac:dyDescent="0.25">
      <c r="A448" s="5">
        <v>3</v>
      </c>
      <c r="B448" s="4" t="s">
        <v>21</v>
      </c>
      <c r="C448" s="6">
        <f>+C449+C451</f>
        <v>112448</v>
      </c>
      <c r="D448" s="6">
        <f t="shared" ref="D448:H448" si="463">+D449+D451</f>
        <v>-112448</v>
      </c>
      <c r="E448" s="6">
        <f t="shared" si="463"/>
        <v>0</v>
      </c>
      <c r="F448" s="6">
        <f t="shared" si="463"/>
        <v>0</v>
      </c>
      <c r="G448" s="6">
        <f t="shared" si="463"/>
        <v>0</v>
      </c>
      <c r="H448" s="6">
        <f t="shared" si="463"/>
        <v>0</v>
      </c>
    </row>
    <row r="449" spans="1:10" s="3" customFormat="1" x14ac:dyDescent="0.25">
      <c r="A449" s="5" t="s">
        <v>363</v>
      </c>
      <c r="B449" s="4" t="s">
        <v>45</v>
      </c>
      <c r="C449" s="6">
        <f>+C450</f>
        <v>112448</v>
      </c>
      <c r="D449" s="6">
        <f t="shared" ref="D449:H449" si="464">+D450</f>
        <v>-112448</v>
      </c>
      <c r="E449" s="6">
        <f t="shared" si="464"/>
        <v>0</v>
      </c>
      <c r="F449" s="6">
        <f t="shared" si="464"/>
        <v>0</v>
      </c>
      <c r="G449" s="6">
        <f t="shared" si="464"/>
        <v>0</v>
      </c>
      <c r="H449" s="6">
        <f t="shared" si="464"/>
        <v>0</v>
      </c>
    </row>
    <row r="450" spans="1:10" x14ac:dyDescent="0.25">
      <c r="A450" s="10" t="s">
        <v>152</v>
      </c>
      <c r="B450" s="31" t="s">
        <v>159</v>
      </c>
      <c r="C450" s="7">
        <v>112448</v>
      </c>
      <c r="D450" s="7">
        <f>0-C450</f>
        <v>-112448</v>
      </c>
      <c r="E450" s="7">
        <f t="shared" ref="E450" si="465">+C450+D450</f>
        <v>0</v>
      </c>
      <c r="F450" s="7">
        <v>0</v>
      </c>
      <c r="G450" s="7">
        <f t="shared" ref="G450" si="466">+F450</f>
        <v>0</v>
      </c>
      <c r="H450" s="7">
        <f t="shared" ref="H450" si="467">+E450-F450</f>
        <v>0</v>
      </c>
    </row>
    <row r="451" spans="1:10" s="3" customFormat="1" x14ac:dyDescent="0.25">
      <c r="A451" s="1">
        <v>3.8</v>
      </c>
      <c r="B451" s="3" t="s">
        <v>25</v>
      </c>
      <c r="C451" s="13">
        <f>+C452+C453</f>
        <v>0</v>
      </c>
      <c r="D451" s="13">
        <f t="shared" ref="D451:H451" si="468">+D452+D453</f>
        <v>0</v>
      </c>
      <c r="E451" s="13">
        <f t="shared" si="468"/>
        <v>0</v>
      </c>
      <c r="F451" s="13">
        <f t="shared" si="468"/>
        <v>0</v>
      </c>
      <c r="G451" s="13">
        <f t="shared" si="468"/>
        <v>0</v>
      </c>
      <c r="H451" s="13">
        <f t="shared" si="468"/>
        <v>0</v>
      </c>
    </row>
    <row r="452" spans="1:10" x14ac:dyDescent="0.25">
      <c r="A452" s="10" t="s">
        <v>188</v>
      </c>
      <c r="B452" s="2" t="s">
        <v>191</v>
      </c>
      <c r="C452" s="7">
        <v>0</v>
      </c>
      <c r="D452" s="7">
        <v>0</v>
      </c>
      <c r="E452" s="7">
        <f t="shared" ref="E452" si="469">+C452+D452</f>
        <v>0</v>
      </c>
      <c r="F452" s="7">
        <v>0</v>
      </c>
      <c r="G452" s="7">
        <f t="shared" ref="G452" si="470">+F452</f>
        <v>0</v>
      </c>
      <c r="H452" s="7">
        <f t="shared" ref="H452" si="471">+E452-F452</f>
        <v>0</v>
      </c>
    </row>
    <row r="453" spans="1:10" x14ac:dyDescent="0.25">
      <c r="A453" s="10" t="s">
        <v>189</v>
      </c>
      <c r="B453" s="2" t="s">
        <v>280</v>
      </c>
      <c r="C453" s="7">
        <v>0</v>
      </c>
      <c r="D453" s="7">
        <v>0</v>
      </c>
      <c r="E453" s="7">
        <f t="shared" ref="E453" si="472">+C453+D453</f>
        <v>0</v>
      </c>
      <c r="F453" s="7">
        <v>0</v>
      </c>
      <c r="G453" s="7">
        <f t="shared" ref="G453" si="473">+F453</f>
        <v>0</v>
      </c>
      <c r="H453" s="7">
        <f t="shared" ref="H453" si="474">+E453-F453</f>
        <v>0</v>
      </c>
    </row>
    <row r="454" spans="1:10" s="3" customFormat="1" x14ac:dyDescent="0.25">
      <c r="A454" s="5">
        <v>5</v>
      </c>
      <c r="B454" s="4" t="s">
        <v>30</v>
      </c>
      <c r="C454" s="6">
        <f>+C455+C458</f>
        <v>0</v>
      </c>
      <c r="D454" s="6">
        <f t="shared" ref="D454:H454" si="475">+D455+D458</f>
        <v>0</v>
      </c>
      <c r="E454" s="6">
        <f t="shared" si="475"/>
        <v>0</v>
      </c>
      <c r="F454" s="6">
        <f t="shared" si="475"/>
        <v>0</v>
      </c>
      <c r="G454" s="6">
        <f t="shared" si="475"/>
        <v>0</v>
      </c>
      <c r="H454" s="6">
        <f t="shared" si="475"/>
        <v>0</v>
      </c>
    </row>
    <row r="455" spans="1:10" s="3" customFormat="1" x14ac:dyDescent="0.25">
      <c r="A455" s="1">
        <v>5.0999999999999996</v>
      </c>
      <c r="B455" s="3" t="s">
        <v>31</v>
      </c>
      <c r="C455" s="13">
        <f>+C456+C457</f>
        <v>0</v>
      </c>
      <c r="D455" s="13">
        <f t="shared" ref="D455:H455" si="476">+D456+D457</f>
        <v>0</v>
      </c>
      <c r="E455" s="13">
        <f t="shared" si="476"/>
        <v>0</v>
      </c>
      <c r="F455" s="13">
        <f t="shared" si="476"/>
        <v>0</v>
      </c>
      <c r="G455" s="13">
        <f t="shared" si="476"/>
        <v>0</v>
      </c>
      <c r="H455" s="13">
        <f t="shared" si="476"/>
        <v>0</v>
      </c>
    </row>
    <row r="456" spans="1:10" x14ac:dyDescent="0.25">
      <c r="A456" s="10" t="s">
        <v>228</v>
      </c>
      <c r="B456" s="2" t="s">
        <v>231</v>
      </c>
      <c r="C456" s="7">
        <v>0</v>
      </c>
      <c r="D456" s="7">
        <v>0</v>
      </c>
      <c r="E456" s="7">
        <f t="shared" ref="E456:E457" si="477">+C456+D456</f>
        <v>0</v>
      </c>
      <c r="F456" s="7">
        <v>0</v>
      </c>
      <c r="G456" s="7">
        <f t="shared" ref="G456:G457" si="478">+F456</f>
        <v>0</v>
      </c>
      <c r="H456" s="7">
        <f t="shared" ref="H456:H457" si="479">+E456-F456</f>
        <v>0</v>
      </c>
    </row>
    <row r="457" spans="1:10" x14ac:dyDescent="0.25">
      <c r="A457" s="10" t="s">
        <v>229</v>
      </c>
      <c r="B457" s="2" t="s">
        <v>232</v>
      </c>
      <c r="C457" s="7">
        <v>0</v>
      </c>
      <c r="D457" s="7">
        <v>0</v>
      </c>
      <c r="E457" s="7">
        <f t="shared" si="477"/>
        <v>0</v>
      </c>
      <c r="F457" s="7">
        <v>0</v>
      </c>
      <c r="G457" s="7">
        <f t="shared" si="478"/>
        <v>0</v>
      </c>
      <c r="H457" s="7">
        <f t="shared" si="479"/>
        <v>0</v>
      </c>
    </row>
    <row r="458" spans="1:10" s="3" customFormat="1" x14ac:dyDescent="0.25">
      <c r="A458" s="1">
        <v>5.2</v>
      </c>
      <c r="B458" s="3" t="s">
        <v>52</v>
      </c>
      <c r="C458" s="13">
        <f>+C459</f>
        <v>0</v>
      </c>
      <c r="D458" s="13">
        <f t="shared" ref="D458:H458" si="480">+D459</f>
        <v>0</v>
      </c>
      <c r="E458" s="13">
        <f t="shared" si="480"/>
        <v>0</v>
      </c>
      <c r="F458" s="13">
        <f t="shared" si="480"/>
        <v>0</v>
      </c>
      <c r="G458" s="13">
        <f t="shared" si="480"/>
        <v>0</v>
      </c>
      <c r="H458" s="13">
        <f t="shared" si="480"/>
        <v>0</v>
      </c>
    </row>
    <row r="459" spans="1:10" x14ac:dyDescent="0.25">
      <c r="A459" s="10" t="s">
        <v>233</v>
      </c>
      <c r="B459" s="2" t="s">
        <v>236</v>
      </c>
      <c r="C459" s="7">
        <v>0</v>
      </c>
      <c r="D459" s="7">
        <v>0</v>
      </c>
      <c r="E459" s="7">
        <f>+C459+D459</f>
        <v>0</v>
      </c>
      <c r="F459" s="7">
        <v>0</v>
      </c>
      <c r="G459" s="7">
        <f t="shared" ref="G459" si="481">+F459</f>
        <v>0</v>
      </c>
      <c r="H459" s="7">
        <f t="shared" ref="H459" si="482">+E459-F459</f>
        <v>0</v>
      </c>
    </row>
    <row r="460" spans="1:10" x14ac:dyDescent="0.25">
      <c r="A460" s="1"/>
      <c r="B460" s="3"/>
      <c r="C460" s="20"/>
      <c r="D460" s="21"/>
      <c r="E460" s="21"/>
      <c r="F460" s="21"/>
      <c r="G460" s="21"/>
      <c r="H460" s="21"/>
    </row>
    <row r="461" spans="1:10" s="17" customFormat="1" ht="15.75" x14ac:dyDescent="0.25">
      <c r="A461" s="14" t="s">
        <v>61</v>
      </c>
      <c r="B461" s="15"/>
      <c r="C461" s="16">
        <f t="shared" ref="C461:H461" si="483">+C462+C482+C508+C538+C543</f>
        <v>10076986</v>
      </c>
      <c r="D461" s="16">
        <f t="shared" si="483"/>
        <v>-4976925.46</v>
      </c>
      <c r="E461" s="16">
        <f t="shared" si="483"/>
        <v>5100060.54</v>
      </c>
      <c r="F461" s="16">
        <f t="shared" si="483"/>
        <v>4711433.0599999996</v>
      </c>
      <c r="G461" s="16">
        <f t="shared" si="483"/>
        <v>4711433.0599999996</v>
      </c>
      <c r="H461" s="16">
        <f t="shared" si="483"/>
        <v>388627.47999999992</v>
      </c>
      <c r="J461" s="18"/>
    </row>
    <row r="462" spans="1:10" x14ac:dyDescent="0.25">
      <c r="A462" s="5">
        <v>1</v>
      </c>
      <c r="B462" s="4" t="s">
        <v>12</v>
      </c>
      <c r="C462" s="6">
        <f>+C463+C466+C469+C477+C480+C475</f>
        <v>4000000</v>
      </c>
      <c r="D462" s="6">
        <f t="shared" ref="D462:H462" si="484">+D463+D466+D469+D477+D480+D475</f>
        <v>-3124213.46</v>
      </c>
      <c r="E462" s="6">
        <f t="shared" si="484"/>
        <v>875786.54</v>
      </c>
      <c r="F462" s="6">
        <f t="shared" si="484"/>
        <v>497999.61</v>
      </c>
      <c r="G462" s="6">
        <f t="shared" si="484"/>
        <v>497999.61</v>
      </c>
      <c r="H462" s="6">
        <f t="shared" si="484"/>
        <v>377786.93</v>
      </c>
    </row>
    <row r="463" spans="1:10" s="3" customFormat="1" x14ac:dyDescent="0.25">
      <c r="A463" s="1">
        <v>1.1000000000000001</v>
      </c>
      <c r="B463" s="3" t="s">
        <v>39</v>
      </c>
      <c r="C463" s="13">
        <f>+C465+C464</f>
        <v>500000</v>
      </c>
      <c r="D463" s="13">
        <f t="shared" ref="D463:H463" si="485">+D465+D464</f>
        <v>-500000</v>
      </c>
      <c r="E463" s="13">
        <f t="shared" si="485"/>
        <v>0</v>
      </c>
      <c r="F463" s="13">
        <f t="shared" si="485"/>
        <v>0</v>
      </c>
      <c r="G463" s="13">
        <f t="shared" si="485"/>
        <v>0</v>
      </c>
      <c r="H463" s="13">
        <f t="shared" si="485"/>
        <v>0</v>
      </c>
    </row>
    <row r="464" spans="1:10" x14ac:dyDescent="0.25">
      <c r="A464" s="10" t="s">
        <v>68</v>
      </c>
      <c r="B464" s="2" t="s">
        <v>273</v>
      </c>
      <c r="C464" s="7">
        <v>0</v>
      </c>
      <c r="D464" s="7">
        <v>0</v>
      </c>
      <c r="E464" s="7">
        <f>+C464+D464</f>
        <v>0</v>
      </c>
      <c r="F464" s="7">
        <v>0</v>
      </c>
      <c r="G464" s="7">
        <f>+F464</f>
        <v>0</v>
      </c>
      <c r="H464" s="7">
        <f>+E464-F464</f>
        <v>0</v>
      </c>
    </row>
    <row r="465" spans="1:9" x14ac:dyDescent="0.25">
      <c r="A465" s="10" t="s">
        <v>70</v>
      </c>
      <c r="B465" s="2" t="s">
        <v>71</v>
      </c>
      <c r="C465" s="7">
        <v>500000</v>
      </c>
      <c r="D465" s="7">
        <f>0-C465</f>
        <v>-500000</v>
      </c>
      <c r="E465" s="7">
        <f>+C465+D465</f>
        <v>0</v>
      </c>
      <c r="F465" s="7">
        <v>0</v>
      </c>
      <c r="G465" s="7">
        <f>+F465</f>
        <v>0</v>
      </c>
      <c r="H465" s="7">
        <f>+E465-F465</f>
        <v>0</v>
      </c>
    </row>
    <row r="466" spans="1:9" s="3" customFormat="1" x14ac:dyDescent="0.25">
      <c r="A466" s="1">
        <v>1.2</v>
      </c>
      <c r="B466" s="3" t="s">
        <v>40</v>
      </c>
      <c r="C466" s="13">
        <f>+C468+C467</f>
        <v>1800000</v>
      </c>
      <c r="D466" s="13">
        <f t="shared" ref="D466:H466" si="486">+D468+D467</f>
        <v>-1800000</v>
      </c>
      <c r="E466" s="13">
        <f t="shared" si="486"/>
        <v>0</v>
      </c>
      <c r="F466" s="13">
        <f t="shared" si="486"/>
        <v>0</v>
      </c>
      <c r="G466" s="13">
        <f t="shared" si="486"/>
        <v>0</v>
      </c>
      <c r="H466" s="13">
        <f t="shared" si="486"/>
        <v>0</v>
      </c>
    </row>
    <row r="467" spans="1:9" ht="14.25" customHeight="1" x14ac:dyDescent="0.25">
      <c r="A467" s="10" t="s">
        <v>72</v>
      </c>
      <c r="B467" s="31" t="s">
        <v>73</v>
      </c>
      <c r="C467" s="7">
        <v>300000</v>
      </c>
      <c r="D467" s="7">
        <f>0-C467</f>
        <v>-300000</v>
      </c>
      <c r="E467" s="7">
        <f>+C467+D467</f>
        <v>0</v>
      </c>
      <c r="F467" s="7">
        <v>0</v>
      </c>
      <c r="G467" s="7">
        <f>+F467</f>
        <v>0</v>
      </c>
      <c r="H467" s="7">
        <f>+E467-F467</f>
        <v>0</v>
      </c>
    </row>
    <row r="468" spans="1:9" ht="14.25" customHeight="1" x14ac:dyDescent="0.25">
      <c r="A468" s="10" t="s">
        <v>74</v>
      </c>
      <c r="B468" s="2" t="s">
        <v>75</v>
      </c>
      <c r="C468" s="7">
        <v>1500000</v>
      </c>
      <c r="D468" s="7">
        <f>0-C468</f>
        <v>-1500000</v>
      </c>
      <c r="E468" s="7">
        <f>+C468+D468</f>
        <v>0</v>
      </c>
      <c r="F468" s="7">
        <v>0</v>
      </c>
      <c r="G468" s="7">
        <f>+F468</f>
        <v>0</v>
      </c>
      <c r="H468" s="7">
        <f>+E468-F468</f>
        <v>0</v>
      </c>
    </row>
    <row r="469" spans="1:9" s="3" customFormat="1" x14ac:dyDescent="0.25">
      <c r="A469" s="1">
        <v>1.3</v>
      </c>
      <c r="B469" s="3" t="s">
        <v>13</v>
      </c>
      <c r="C469" s="13">
        <f>+C470+C473+C474</f>
        <v>800000</v>
      </c>
      <c r="D469" s="13">
        <f t="shared" ref="D469:H469" si="487">+D470+D473+D474</f>
        <v>-800000</v>
      </c>
      <c r="E469" s="13">
        <f>+E470+E473+E474</f>
        <v>0</v>
      </c>
      <c r="F469" s="13">
        <f t="shared" si="487"/>
        <v>0</v>
      </c>
      <c r="G469" s="13">
        <f t="shared" si="487"/>
        <v>0</v>
      </c>
      <c r="H469" s="13">
        <f t="shared" si="487"/>
        <v>0</v>
      </c>
    </row>
    <row r="470" spans="1:9" x14ac:dyDescent="0.25">
      <c r="A470" s="10" t="s">
        <v>76</v>
      </c>
      <c r="B470" s="2" t="s">
        <v>77</v>
      </c>
      <c r="C470" s="7">
        <f>+C471+C472</f>
        <v>300000</v>
      </c>
      <c r="D470" s="7">
        <f>0-C470</f>
        <v>-300000</v>
      </c>
      <c r="E470" s="7">
        <f t="shared" ref="E470:H470" si="488">+E471+E472</f>
        <v>0</v>
      </c>
      <c r="F470" s="7">
        <f t="shared" si="488"/>
        <v>0</v>
      </c>
      <c r="G470" s="7">
        <f t="shared" si="488"/>
        <v>0</v>
      </c>
      <c r="H470" s="7">
        <f t="shared" si="488"/>
        <v>0</v>
      </c>
    </row>
    <row r="471" spans="1:9" x14ac:dyDescent="0.25">
      <c r="A471" s="10" t="s">
        <v>80</v>
      </c>
      <c r="B471" s="2" t="s">
        <v>78</v>
      </c>
      <c r="C471" s="7">
        <v>0</v>
      </c>
      <c r="D471" s="7">
        <v>0</v>
      </c>
      <c r="E471" s="7">
        <f>+C471+D471</f>
        <v>0</v>
      </c>
      <c r="F471" s="7">
        <v>0</v>
      </c>
      <c r="G471" s="7">
        <f>+F471</f>
        <v>0</v>
      </c>
      <c r="H471" s="7">
        <f>+E471-F471</f>
        <v>0</v>
      </c>
    </row>
    <row r="472" spans="1:9" x14ac:dyDescent="0.25">
      <c r="A472" s="10" t="s">
        <v>81</v>
      </c>
      <c r="B472" s="2" t="s">
        <v>79</v>
      </c>
      <c r="C472" s="7">
        <v>300000</v>
      </c>
      <c r="D472" s="7">
        <f>0-C472</f>
        <v>-300000</v>
      </c>
      <c r="E472" s="7">
        <f>+C472+D472</f>
        <v>0</v>
      </c>
      <c r="F472" s="7">
        <v>0</v>
      </c>
      <c r="G472" s="7">
        <f>+F472</f>
        <v>0</v>
      </c>
      <c r="H472" s="7">
        <f>+E472-F472</f>
        <v>0</v>
      </c>
    </row>
    <row r="473" spans="1:9" x14ac:dyDescent="0.25">
      <c r="A473" s="10" t="s">
        <v>82</v>
      </c>
      <c r="B473" s="31" t="s">
        <v>83</v>
      </c>
      <c r="C473" s="7">
        <v>200000</v>
      </c>
      <c r="D473" s="7">
        <f>0-C473</f>
        <v>-200000</v>
      </c>
      <c r="E473" s="7">
        <f t="shared" ref="E473" si="489">+C473+D473</f>
        <v>0</v>
      </c>
      <c r="F473" s="7">
        <v>0</v>
      </c>
      <c r="G473" s="7">
        <f t="shared" ref="G473:G481" si="490">+F473</f>
        <v>0</v>
      </c>
      <c r="H473" s="7">
        <f t="shared" ref="H473:H474" si="491">+E473-F473</f>
        <v>0</v>
      </c>
    </row>
    <row r="474" spans="1:9" x14ac:dyDescent="0.25">
      <c r="A474" s="10" t="s">
        <v>84</v>
      </c>
      <c r="B474" s="31" t="s">
        <v>85</v>
      </c>
      <c r="C474" s="7">
        <v>300000</v>
      </c>
      <c r="D474" s="7">
        <f>0-C474</f>
        <v>-300000</v>
      </c>
      <c r="E474" s="7">
        <f>+C474+D474</f>
        <v>0</v>
      </c>
      <c r="F474" s="7">
        <v>0</v>
      </c>
      <c r="G474" s="7">
        <f t="shared" si="490"/>
        <v>0</v>
      </c>
      <c r="H474" s="7">
        <f t="shared" si="491"/>
        <v>0</v>
      </c>
    </row>
    <row r="475" spans="1:9" s="3" customFormat="1" x14ac:dyDescent="0.25">
      <c r="A475" s="1" t="s">
        <v>417</v>
      </c>
      <c r="B475" s="3" t="s">
        <v>420</v>
      </c>
      <c r="C475" s="13">
        <f>+C476</f>
        <v>0</v>
      </c>
      <c r="D475" s="13">
        <f t="shared" ref="D475:H475" si="492">+D476</f>
        <v>377786.93</v>
      </c>
      <c r="E475" s="13">
        <f t="shared" si="492"/>
        <v>377786.93</v>
      </c>
      <c r="F475" s="13">
        <f t="shared" si="492"/>
        <v>0</v>
      </c>
      <c r="G475" s="13">
        <f t="shared" si="492"/>
        <v>0</v>
      </c>
      <c r="H475" s="13">
        <f t="shared" si="492"/>
        <v>377786.93</v>
      </c>
      <c r="I475" s="21"/>
    </row>
    <row r="476" spans="1:9" x14ac:dyDescent="0.25">
      <c r="A476" s="10" t="s">
        <v>418</v>
      </c>
      <c r="B476" s="2" t="s">
        <v>419</v>
      </c>
      <c r="C476" s="7">
        <v>0</v>
      </c>
      <c r="D476" s="7">
        <v>377786.93</v>
      </c>
      <c r="E476" s="7">
        <f>+C476+D476</f>
        <v>377786.93</v>
      </c>
      <c r="F476" s="7">
        <v>0</v>
      </c>
      <c r="G476" s="7">
        <f>+F476</f>
        <v>0</v>
      </c>
      <c r="H476" s="7">
        <f>+E476-F476</f>
        <v>377786.93</v>
      </c>
      <c r="I476" s="21"/>
    </row>
    <row r="477" spans="1:9" s="3" customFormat="1" x14ac:dyDescent="0.25">
      <c r="A477" s="1" t="s">
        <v>364</v>
      </c>
      <c r="B477" s="3" t="s">
        <v>13</v>
      </c>
      <c r="C477" s="13">
        <f>+C478+C479</f>
        <v>600000</v>
      </c>
      <c r="D477" s="13">
        <f t="shared" ref="D477:H477" si="493">+D478+D479</f>
        <v>-102000.39000000001</v>
      </c>
      <c r="E477" s="13">
        <f t="shared" si="493"/>
        <v>497999.61</v>
      </c>
      <c r="F477" s="13">
        <f t="shared" si="493"/>
        <v>497999.61</v>
      </c>
      <c r="G477" s="13">
        <f t="shared" si="493"/>
        <v>497999.61</v>
      </c>
      <c r="H477" s="13">
        <f t="shared" si="493"/>
        <v>0</v>
      </c>
    </row>
    <row r="478" spans="1:9" x14ac:dyDescent="0.25">
      <c r="A478" s="10" t="s">
        <v>88</v>
      </c>
      <c r="B478" s="31" t="s">
        <v>89</v>
      </c>
      <c r="C478" s="7">
        <v>400000</v>
      </c>
      <c r="D478" s="7">
        <f>497999.61-C478</f>
        <v>97999.609999999986</v>
      </c>
      <c r="E478" s="7">
        <f t="shared" ref="E478:E479" si="494">+C478+D478</f>
        <v>497999.61</v>
      </c>
      <c r="F478" s="7">
        <v>497999.61</v>
      </c>
      <c r="G478" s="7">
        <f t="shared" si="490"/>
        <v>497999.61</v>
      </c>
      <c r="H478" s="7">
        <f t="shared" ref="H478:H479" si="495">+E478-F478</f>
        <v>0</v>
      </c>
    </row>
    <row r="479" spans="1:9" x14ac:dyDescent="0.25">
      <c r="A479" s="10" t="s">
        <v>365</v>
      </c>
      <c r="B479" s="31" t="s">
        <v>366</v>
      </c>
      <c r="C479" s="7">
        <v>200000</v>
      </c>
      <c r="D479" s="7">
        <f>0-C479</f>
        <v>-200000</v>
      </c>
      <c r="E479" s="7">
        <f t="shared" si="494"/>
        <v>0</v>
      </c>
      <c r="F479" s="7">
        <v>0</v>
      </c>
      <c r="G479" s="7">
        <f t="shared" si="490"/>
        <v>0</v>
      </c>
      <c r="H479" s="7">
        <f t="shared" si="495"/>
        <v>0</v>
      </c>
    </row>
    <row r="480" spans="1:9" s="3" customFormat="1" x14ac:dyDescent="0.25">
      <c r="A480" s="1" t="s">
        <v>367</v>
      </c>
      <c r="B480" s="31" t="s">
        <v>16</v>
      </c>
      <c r="C480" s="13">
        <f>+C481</f>
        <v>300000</v>
      </c>
      <c r="D480" s="13">
        <f t="shared" ref="D480:H480" si="496">+D481</f>
        <v>-300000</v>
      </c>
      <c r="E480" s="13">
        <f t="shared" si="496"/>
        <v>0</v>
      </c>
      <c r="F480" s="13">
        <f t="shared" si="496"/>
        <v>0</v>
      </c>
      <c r="G480" s="13">
        <f t="shared" si="496"/>
        <v>0</v>
      </c>
      <c r="H480" s="13">
        <f t="shared" si="496"/>
        <v>0</v>
      </c>
    </row>
    <row r="481" spans="1:8" x14ac:dyDescent="0.25">
      <c r="A481" s="10" t="s">
        <v>91</v>
      </c>
      <c r="B481" s="31" t="s">
        <v>92</v>
      </c>
      <c r="C481" s="7">
        <v>300000</v>
      </c>
      <c r="D481" s="7">
        <f>0-C481</f>
        <v>-300000</v>
      </c>
      <c r="E481" s="7">
        <f t="shared" ref="E481" si="497">+C481+D481</f>
        <v>0</v>
      </c>
      <c r="F481" s="7">
        <v>0</v>
      </c>
      <c r="G481" s="7">
        <f t="shared" si="490"/>
        <v>0</v>
      </c>
      <c r="H481" s="7">
        <f t="shared" ref="H481" si="498">+E481-F481</f>
        <v>0</v>
      </c>
    </row>
    <row r="482" spans="1:8" s="3" customFormat="1" x14ac:dyDescent="0.25">
      <c r="A482" s="5">
        <v>2</v>
      </c>
      <c r="B482" s="4" t="s">
        <v>17</v>
      </c>
      <c r="C482" s="6">
        <f>+C483+C489+C492+C496+C498+C501</f>
        <v>3360000</v>
      </c>
      <c r="D482" s="6">
        <f t="shared" ref="D482:H482" si="499">+D483+D489+D492+D496+D498+D501</f>
        <v>-1003934.3899999999</v>
      </c>
      <c r="E482" s="6">
        <f t="shared" si="499"/>
        <v>2356065.61</v>
      </c>
      <c r="F482" s="6">
        <f t="shared" si="499"/>
        <v>2345225.06</v>
      </c>
      <c r="G482" s="6">
        <f t="shared" si="499"/>
        <v>2345225.06</v>
      </c>
      <c r="H482" s="6">
        <f t="shared" si="499"/>
        <v>10840.54999999993</v>
      </c>
    </row>
    <row r="483" spans="1:8" s="3" customFormat="1" x14ac:dyDescent="0.25">
      <c r="A483" s="22">
        <v>2.1</v>
      </c>
      <c r="B483" s="3" t="s">
        <v>64</v>
      </c>
      <c r="C483" s="13">
        <f>+C484+C485+C486+C487+C488</f>
        <v>2350000</v>
      </c>
      <c r="D483" s="13">
        <f t="shared" ref="D483:H483" si="500">+D484+D485+D486+D487+D488</f>
        <v>-637435.67000000004</v>
      </c>
      <c r="E483" s="13">
        <f t="shared" si="500"/>
        <v>1712564.3299999998</v>
      </c>
      <c r="F483" s="13">
        <f t="shared" si="500"/>
        <v>1701723.78</v>
      </c>
      <c r="G483" s="13">
        <f t="shared" si="500"/>
        <v>1701723.78</v>
      </c>
      <c r="H483" s="13">
        <f t="shared" si="500"/>
        <v>10840.54999999993</v>
      </c>
    </row>
    <row r="484" spans="1:8" x14ac:dyDescent="0.25">
      <c r="A484" s="10" t="s">
        <v>93</v>
      </c>
      <c r="B484" s="2" t="s">
        <v>99</v>
      </c>
      <c r="C484" s="7">
        <v>1600000</v>
      </c>
      <c r="D484" s="7">
        <f>899577.95-C484</f>
        <v>-700422.05</v>
      </c>
      <c r="E484" s="7">
        <f>+C484+D484</f>
        <v>899577.95</v>
      </c>
      <c r="F484" s="7">
        <v>888737.4</v>
      </c>
      <c r="G484" s="7">
        <f t="shared" ref="G484:G486" si="501">+F484</f>
        <v>888737.4</v>
      </c>
      <c r="H484" s="7">
        <f t="shared" ref="H484:H486" si="502">+E484-F484</f>
        <v>10840.54999999993</v>
      </c>
    </row>
    <row r="485" spans="1:8" x14ac:dyDescent="0.25">
      <c r="A485" s="10" t="s">
        <v>94</v>
      </c>
      <c r="B485" s="2" t="s">
        <v>100</v>
      </c>
      <c r="C485" s="7">
        <v>200000</v>
      </c>
      <c r="D485" s="7">
        <f>362296.22-C485</f>
        <v>162296.21999999997</v>
      </c>
      <c r="E485" s="7">
        <f t="shared" ref="E485:E486" si="503">+C485+D485</f>
        <v>362296.22</v>
      </c>
      <c r="F485" s="7">
        <v>362296.22</v>
      </c>
      <c r="G485" s="7">
        <f t="shared" si="501"/>
        <v>362296.22</v>
      </c>
      <c r="H485" s="7">
        <f t="shared" si="502"/>
        <v>0</v>
      </c>
    </row>
    <row r="486" spans="1:8" x14ac:dyDescent="0.25">
      <c r="A486" s="10" t="s">
        <v>95</v>
      </c>
      <c r="B486" s="2" t="s">
        <v>101</v>
      </c>
      <c r="C486" s="7">
        <v>200000</v>
      </c>
      <c r="D486" s="7">
        <f>369732.76-C486</f>
        <v>169732.76</v>
      </c>
      <c r="E486" s="7">
        <f t="shared" si="503"/>
        <v>369732.76</v>
      </c>
      <c r="F486" s="7">
        <v>369732.76</v>
      </c>
      <c r="G486" s="7">
        <f t="shared" si="501"/>
        <v>369732.76</v>
      </c>
      <c r="H486" s="7">
        <f t="shared" si="502"/>
        <v>0</v>
      </c>
    </row>
    <row r="487" spans="1:8" x14ac:dyDescent="0.25">
      <c r="A487" s="10" t="s">
        <v>96</v>
      </c>
      <c r="B487" s="31" t="s">
        <v>102</v>
      </c>
      <c r="C487" s="7">
        <v>200000</v>
      </c>
      <c r="D487" s="7">
        <f>0-C487</f>
        <v>-200000</v>
      </c>
      <c r="E487" s="7">
        <f t="shared" ref="E487" si="504">+C487+D487</f>
        <v>0</v>
      </c>
      <c r="F487" s="7">
        <v>0</v>
      </c>
      <c r="G487" s="7">
        <f t="shared" ref="G487" si="505">+F487</f>
        <v>0</v>
      </c>
      <c r="H487" s="7">
        <f t="shared" ref="H487" si="506">+E487-F487</f>
        <v>0</v>
      </c>
    </row>
    <row r="488" spans="1:8" x14ac:dyDescent="0.25">
      <c r="A488" s="10" t="s">
        <v>97</v>
      </c>
      <c r="B488" s="31" t="s">
        <v>103</v>
      </c>
      <c r="C488" s="7">
        <v>150000</v>
      </c>
      <c r="D488" s="7">
        <f>80957.4-C488</f>
        <v>-69042.600000000006</v>
      </c>
      <c r="E488" s="7">
        <f t="shared" ref="E488" si="507">+C488+D488</f>
        <v>80957.399999999994</v>
      </c>
      <c r="F488" s="7">
        <v>80957.399999999994</v>
      </c>
      <c r="G488" s="7">
        <f t="shared" ref="G488" si="508">+F488</f>
        <v>80957.399999999994</v>
      </c>
      <c r="H488" s="7">
        <f t="shared" ref="H488" si="509">+E488-F488</f>
        <v>0</v>
      </c>
    </row>
    <row r="489" spans="1:8" s="3" customFormat="1" x14ac:dyDescent="0.25">
      <c r="A489" s="22">
        <v>2.2000000000000002</v>
      </c>
      <c r="B489" s="32" t="s">
        <v>368</v>
      </c>
      <c r="C489" s="13">
        <f>+C490+C491</f>
        <v>130000</v>
      </c>
      <c r="D489" s="13">
        <f t="shared" ref="D489:H489" si="510">+D490+D491</f>
        <v>-120243.7</v>
      </c>
      <c r="E489" s="13">
        <f t="shared" si="510"/>
        <v>9756.3000000000029</v>
      </c>
      <c r="F489" s="13">
        <f t="shared" si="510"/>
        <v>9756.2999999999993</v>
      </c>
      <c r="G489" s="13">
        <f t="shared" si="510"/>
        <v>9756.2999999999993</v>
      </c>
      <c r="H489" s="13">
        <f t="shared" si="510"/>
        <v>0</v>
      </c>
    </row>
    <row r="490" spans="1:8" x14ac:dyDescent="0.25">
      <c r="A490" s="10" t="s">
        <v>105</v>
      </c>
      <c r="B490" s="31" t="s">
        <v>106</v>
      </c>
      <c r="C490" s="7">
        <v>100000</v>
      </c>
      <c r="D490" s="7">
        <f>9756.3-C490</f>
        <v>-90243.7</v>
      </c>
      <c r="E490" s="7">
        <f>+C490+D490</f>
        <v>9756.3000000000029</v>
      </c>
      <c r="F490" s="7">
        <v>9756.2999999999993</v>
      </c>
      <c r="G490" s="7">
        <f t="shared" ref="G490" si="511">+F490</f>
        <v>9756.2999999999993</v>
      </c>
      <c r="H490" s="7">
        <f t="shared" ref="H490" si="512">+E490-F490</f>
        <v>0</v>
      </c>
    </row>
    <row r="491" spans="1:8" ht="15.75" customHeight="1" x14ac:dyDescent="0.25">
      <c r="A491" s="10" t="s">
        <v>290</v>
      </c>
      <c r="B491" s="31" t="s">
        <v>369</v>
      </c>
      <c r="C491" s="7">
        <v>30000</v>
      </c>
      <c r="D491" s="7">
        <f>0-C491</f>
        <v>-30000</v>
      </c>
      <c r="E491" s="7">
        <f>+C491+D491</f>
        <v>0</v>
      </c>
      <c r="F491" s="7">
        <v>0</v>
      </c>
      <c r="G491" s="7">
        <f t="shared" ref="G491" si="513">+F491</f>
        <v>0</v>
      </c>
      <c r="H491" s="7">
        <f t="shared" ref="H491" si="514">+E491-F491</f>
        <v>0</v>
      </c>
    </row>
    <row r="492" spans="1:8" s="3" customFormat="1" x14ac:dyDescent="0.25">
      <c r="A492" s="22">
        <v>2.4</v>
      </c>
      <c r="B492" s="32" t="s">
        <v>41</v>
      </c>
      <c r="C492" s="13">
        <f>+C493+C494+C495</f>
        <v>480000</v>
      </c>
      <c r="D492" s="13">
        <f t="shared" ref="D492:H492" si="515">+D493+D494+D495</f>
        <v>-311865.53999999998</v>
      </c>
      <c r="E492" s="13">
        <f t="shared" si="515"/>
        <v>168134.46000000002</v>
      </c>
      <c r="F492" s="13">
        <f t="shared" si="515"/>
        <v>168134.46000000002</v>
      </c>
      <c r="G492" s="13">
        <f t="shared" si="515"/>
        <v>168134.46000000002</v>
      </c>
      <c r="H492" s="13">
        <f t="shared" si="515"/>
        <v>0</v>
      </c>
    </row>
    <row r="493" spans="1:8" x14ac:dyDescent="0.25">
      <c r="A493" s="31" t="s">
        <v>292</v>
      </c>
      <c r="B493" s="31" t="s">
        <v>360</v>
      </c>
      <c r="C493" s="7">
        <v>100000</v>
      </c>
      <c r="D493" s="7">
        <f>14590.11-C493</f>
        <v>-85409.89</v>
      </c>
      <c r="E493" s="7">
        <f t="shared" ref="E493:E495" si="516">+C493+D493</f>
        <v>14590.11</v>
      </c>
      <c r="F493" s="7">
        <v>14590.11</v>
      </c>
      <c r="G493" s="7">
        <f t="shared" ref="G493:G495" si="517">+F493</f>
        <v>14590.11</v>
      </c>
      <c r="H493" s="7">
        <f t="shared" ref="H493:H495" si="518">+E493-F493</f>
        <v>0</v>
      </c>
    </row>
    <row r="494" spans="1:8" x14ac:dyDescent="0.25">
      <c r="A494" s="31" t="s">
        <v>108</v>
      </c>
      <c r="B494" s="31" t="s">
        <v>111</v>
      </c>
      <c r="C494" s="7">
        <v>280000</v>
      </c>
      <c r="D494" s="7">
        <f>147376.85-C494</f>
        <v>-132623.15</v>
      </c>
      <c r="E494" s="7">
        <f t="shared" si="516"/>
        <v>147376.85</v>
      </c>
      <c r="F494" s="7">
        <v>147376.85</v>
      </c>
      <c r="G494" s="7">
        <f t="shared" si="517"/>
        <v>147376.85</v>
      </c>
      <c r="H494" s="7">
        <f t="shared" si="518"/>
        <v>0</v>
      </c>
    </row>
    <row r="495" spans="1:8" x14ac:dyDescent="0.25">
      <c r="A495" s="31" t="s">
        <v>109</v>
      </c>
      <c r="B495" s="31" t="s">
        <v>112</v>
      </c>
      <c r="C495" s="7">
        <v>100000</v>
      </c>
      <c r="D495" s="7">
        <f>6167.5-C495</f>
        <v>-93832.5</v>
      </c>
      <c r="E495" s="7">
        <f t="shared" si="516"/>
        <v>6167.5</v>
      </c>
      <c r="F495" s="7">
        <v>6167.5</v>
      </c>
      <c r="G495" s="7">
        <f t="shared" si="517"/>
        <v>6167.5</v>
      </c>
      <c r="H495" s="7">
        <f t="shared" si="518"/>
        <v>0</v>
      </c>
    </row>
    <row r="496" spans="1:8" s="3" customFormat="1" x14ac:dyDescent="0.25">
      <c r="A496" s="32">
        <v>2.6</v>
      </c>
      <c r="B496" s="32" t="s">
        <v>19</v>
      </c>
      <c r="C496" s="13">
        <f>+C497</f>
        <v>200000</v>
      </c>
      <c r="D496" s="13">
        <f t="shared" ref="D496:H496" si="519">+D497</f>
        <v>195377.36</v>
      </c>
      <c r="E496" s="13">
        <f t="shared" si="519"/>
        <v>395377.36</v>
      </c>
      <c r="F496" s="13">
        <f t="shared" si="519"/>
        <v>395377.36</v>
      </c>
      <c r="G496" s="13">
        <f t="shared" si="519"/>
        <v>395377.36</v>
      </c>
      <c r="H496" s="13">
        <f t="shared" si="519"/>
        <v>0</v>
      </c>
    </row>
    <row r="497" spans="1:9" x14ac:dyDescent="0.25">
      <c r="A497" s="31" t="s">
        <v>117</v>
      </c>
      <c r="B497" s="31" t="s">
        <v>19</v>
      </c>
      <c r="C497" s="7">
        <v>200000</v>
      </c>
      <c r="D497" s="7">
        <f>395377.36-C497</f>
        <v>195377.36</v>
      </c>
      <c r="E497" s="7">
        <f t="shared" ref="E497" si="520">+C497+D497</f>
        <v>395377.36</v>
      </c>
      <c r="F497" s="7">
        <v>395377.36</v>
      </c>
      <c r="G497" s="7">
        <f t="shared" ref="G497" si="521">+F497</f>
        <v>395377.36</v>
      </c>
      <c r="H497" s="7">
        <f t="shared" ref="H497" si="522">+E497-F497</f>
        <v>0</v>
      </c>
    </row>
    <row r="498" spans="1:9" s="3" customFormat="1" x14ac:dyDescent="0.25">
      <c r="A498" s="32">
        <v>2.7</v>
      </c>
      <c r="B498" s="32" t="s">
        <v>43</v>
      </c>
      <c r="C498" s="13">
        <f>+C499+C500</f>
        <v>200000</v>
      </c>
      <c r="D498" s="13">
        <f t="shared" ref="D498:H498" si="523">+D499+D500</f>
        <v>-144088</v>
      </c>
      <c r="E498" s="13">
        <f t="shared" si="523"/>
        <v>55912</v>
      </c>
      <c r="F498" s="13">
        <f t="shared" si="523"/>
        <v>55912</v>
      </c>
      <c r="G498" s="13">
        <f t="shared" si="523"/>
        <v>55912</v>
      </c>
      <c r="H498" s="13">
        <f t="shared" si="523"/>
        <v>0</v>
      </c>
    </row>
    <row r="499" spans="1:9" x14ac:dyDescent="0.25">
      <c r="A499" s="31" t="s">
        <v>118</v>
      </c>
      <c r="B499" s="31" t="s">
        <v>121</v>
      </c>
      <c r="C499" s="7">
        <v>200000</v>
      </c>
      <c r="D499" s="7">
        <f>0-C499</f>
        <v>-200000</v>
      </c>
      <c r="E499" s="7">
        <f t="shared" ref="E499" si="524">+C499+D499</f>
        <v>0</v>
      </c>
      <c r="F499" s="7">
        <v>0</v>
      </c>
      <c r="G499" s="7">
        <f t="shared" ref="G499" si="525">+F499</f>
        <v>0</v>
      </c>
      <c r="H499" s="7">
        <f t="shared" ref="H499" si="526">+E499-F499</f>
        <v>0</v>
      </c>
    </row>
    <row r="500" spans="1:9" x14ac:dyDescent="0.25">
      <c r="A500" s="31" t="s">
        <v>120</v>
      </c>
      <c r="B500" s="31" t="s">
        <v>397</v>
      </c>
      <c r="C500" s="7">
        <v>0</v>
      </c>
      <c r="D500" s="7">
        <v>55912</v>
      </c>
      <c r="E500" s="7">
        <f t="shared" ref="E500" si="527">+C500+D500</f>
        <v>55912</v>
      </c>
      <c r="F500" s="7">
        <v>55912</v>
      </c>
      <c r="G500" s="7">
        <f t="shared" ref="G500" si="528">+F500</f>
        <v>55912</v>
      </c>
      <c r="H500" s="7">
        <f t="shared" ref="H500" si="529">+E500-F500</f>
        <v>0</v>
      </c>
    </row>
    <row r="501" spans="1:9" s="3" customFormat="1" x14ac:dyDescent="0.25">
      <c r="A501" s="1">
        <v>2.9</v>
      </c>
      <c r="B501" s="3" t="s">
        <v>44</v>
      </c>
      <c r="C501" s="13">
        <f>+C502+C503+C504+C505+C506+C507</f>
        <v>0</v>
      </c>
      <c r="D501" s="13">
        <f t="shared" ref="D501:E501" si="530">+D502+D503+D504+D505+D506+D507</f>
        <v>14321.16</v>
      </c>
      <c r="E501" s="13">
        <f t="shared" si="530"/>
        <v>14321.16</v>
      </c>
      <c r="F501" s="13">
        <f>+F502+F503+F504+F505+F506+F507</f>
        <v>14321.16</v>
      </c>
      <c r="G501" s="13">
        <f t="shared" ref="G501:H501" si="531">+G502+G503+G504+G505+G506+G507</f>
        <v>14321.16</v>
      </c>
      <c r="H501" s="13">
        <f t="shared" si="531"/>
        <v>0</v>
      </c>
      <c r="I501" s="29"/>
    </row>
    <row r="502" spans="1:9" x14ac:dyDescent="0.25">
      <c r="A502" s="10" t="s">
        <v>128</v>
      </c>
      <c r="B502" s="2" t="s">
        <v>133</v>
      </c>
      <c r="C502" s="7">
        <v>0</v>
      </c>
      <c r="D502" s="7">
        <v>14321.16</v>
      </c>
      <c r="E502" s="7">
        <f t="shared" ref="E502:E507" si="532">+C502+D502</f>
        <v>14321.16</v>
      </c>
      <c r="F502" s="7">
        <v>14321.16</v>
      </c>
      <c r="G502" s="7">
        <f t="shared" ref="G502:G507" si="533">+F502</f>
        <v>14321.16</v>
      </c>
      <c r="H502" s="7">
        <f t="shared" ref="H502:H507" si="534">+E502-F502</f>
        <v>0</v>
      </c>
      <c r="I502" s="29"/>
    </row>
    <row r="503" spans="1:9" x14ac:dyDescent="0.25">
      <c r="A503" s="10" t="s">
        <v>129</v>
      </c>
      <c r="B503" s="2" t="s">
        <v>134</v>
      </c>
      <c r="C503" s="7">
        <v>0</v>
      </c>
      <c r="D503" s="7">
        <v>0</v>
      </c>
      <c r="E503" s="7">
        <f t="shared" si="532"/>
        <v>0</v>
      </c>
      <c r="F503" s="7">
        <v>0</v>
      </c>
      <c r="G503" s="7">
        <f t="shared" si="533"/>
        <v>0</v>
      </c>
      <c r="H503" s="7">
        <f t="shared" si="534"/>
        <v>0</v>
      </c>
      <c r="I503" s="29"/>
    </row>
    <row r="504" spans="1:9" x14ac:dyDescent="0.25">
      <c r="A504" s="10" t="s">
        <v>130</v>
      </c>
      <c r="B504" s="2" t="s">
        <v>135</v>
      </c>
      <c r="C504" s="7">
        <v>0</v>
      </c>
      <c r="D504" s="7">
        <v>0</v>
      </c>
      <c r="E504" s="7">
        <f t="shared" si="532"/>
        <v>0</v>
      </c>
      <c r="F504" s="7">
        <v>0</v>
      </c>
      <c r="G504" s="7">
        <f t="shared" si="533"/>
        <v>0</v>
      </c>
      <c r="H504" s="7">
        <f t="shared" si="534"/>
        <v>0</v>
      </c>
      <c r="I504" s="29"/>
    </row>
    <row r="505" spans="1:9" x14ac:dyDescent="0.25">
      <c r="A505" s="10" t="s">
        <v>131</v>
      </c>
      <c r="B505" s="2" t="s">
        <v>136</v>
      </c>
      <c r="C505" s="7">
        <v>0</v>
      </c>
      <c r="D505" s="7">
        <v>0</v>
      </c>
      <c r="E505" s="7">
        <f t="shared" si="532"/>
        <v>0</v>
      </c>
      <c r="F505" s="7">
        <v>0</v>
      </c>
      <c r="G505" s="7">
        <f t="shared" si="533"/>
        <v>0</v>
      </c>
      <c r="H505" s="7">
        <f t="shared" si="534"/>
        <v>0</v>
      </c>
      <c r="I505" s="29"/>
    </row>
    <row r="506" spans="1:9" x14ac:dyDescent="0.25">
      <c r="A506" s="10" t="s">
        <v>132</v>
      </c>
      <c r="B506" s="2" t="s">
        <v>137</v>
      </c>
      <c r="C506" s="7">
        <v>0</v>
      </c>
      <c r="D506" s="7">
        <v>0</v>
      </c>
      <c r="E506" s="7">
        <f t="shared" si="532"/>
        <v>0</v>
      </c>
      <c r="F506" s="7">
        <v>0</v>
      </c>
      <c r="G506" s="7">
        <f t="shared" si="533"/>
        <v>0</v>
      </c>
      <c r="H506" s="7">
        <f t="shared" si="534"/>
        <v>0</v>
      </c>
      <c r="I506" s="29"/>
    </row>
    <row r="507" spans="1:9" x14ac:dyDescent="0.25">
      <c r="A507" s="10" t="s">
        <v>303</v>
      </c>
      <c r="B507" s="2" t="s">
        <v>304</v>
      </c>
      <c r="C507" s="7">
        <v>0</v>
      </c>
      <c r="D507" s="7">
        <v>0</v>
      </c>
      <c r="E507" s="7">
        <f t="shared" si="532"/>
        <v>0</v>
      </c>
      <c r="F507" s="7">
        <v>0</v>
      </c>
      <c r="G507" s="7">
        <f t="shared" si="533"/>
        <v>0</v>
      </c>
      <c r="H507" s="7">
        <f t="shared" si="534"/>
        <v>0</v>
      </c>
      <c r="I507" s="29"/>
    </row>
    <row r="508" spans="1:9" s="3" customFormat="1" x14ac:dyDescent="0.25">
      <c r="A508" s="5">
        <v>3</v>
      </c>
      <c r="B508" s="4" t="s">
        <v>21</v>
      </c>
      <c r="C508" s="6">
        <f>+C512+C519+C517+C530+C521+C532+C509</f>
        <v>1350200</v>
      </c>
      <c r="D508" s="6">
        <f t="shared" ref="D508:H508" si="535">+D512+D519+D517+D530+D521+D532+D509</f>
        <v>126337.67000000004</v>
      </c>
      <c r="E508" s="6">
        <f t="shared" si="535"/>
        <v>1476537.67</v>
      </c>
      <c r="F508" s="6">
        <f t="shared" si="535"/>
        <v>1476537.67</v>
      </c>
      <c r="G508" s="6">
        <f t="shared" si="535"/>
        <v>1476537.67</v>
      </c>
      <c r="H508" s="6">
        <f t="shared" si="535"/>
        <v>0</v>
      </c>
    </row>
    <row r="509" spans="1:9" s="3" customFormat="1" x14ac:dyDescent="0.25">
      <c r="A509" s="1">
        <v>3.2</v>
      </c>
      <c r="B509" s="3" t="s">
        <v>23</v>
      </c>
      <c r="C509" s="13">
        <f>+C510+C511</f>
        <v>0</v>
      </c>
      <c r="D509" s="13">
        <f t="shared" ref="D509:H509" si="536">+D510+D511</f>
        <v>197516.95</v>
      </c>
      <c r="E509" s="13">
        <f t="shared" si="536"/>
        <v>197516.95</v>
      </c>
      <c r="F509" s="13">
        <f t="shared" si="536"/>
        <v>197516.95</v>
      </c>
      <c r="G509" s="13">
        <f t="shared" si="536"/>
        <v>197516.95</v>
      </c>
      <c r="H509" s="13">
        <f t="shared" si="536"/>
        <v>0</v>
      </c>
      <c r="I509" s="29"/>
    </row>
    <row r="510" spans="1:9" x14ac:dyDescent="0.25">
      <c r="A510" s="10" t="s">
        <v>144</v>
      </c>
      <c r="B510" s="2" t="s">
        <v>148</v>
      </c>
      <c r="C510" s="7">
        <v>0</v>
      </c>
      <c r="D510" s="7">
        <v>4000</v>
      </c>
      <c r="E510" s="7">
        <f>+C510+D510</f>
        <v>4000</v>
      </c>
      <c r="F510" s="7">
        <v>4000</v>
      </c>
      <c r="G510" s="7">
        <f t="shared" ref="G510:G511" si="537">+F510</f>
        <v>4000</v>
      </c>
      <c r="H510" s="7">
        <f t="shared" ref="H510:H511" si="538">+E510-F510</f>
        <v>0</v>
      </c>
      <c r="I510" s="29"/>
    </row>
    <row r="511" spans="1:9" x14ac:dyDescent="0.25">
      <c r="A511" s="10" t="s">
        <v>145</v>
      </c>
      <c r="B511" s="2" t="s">
        <v>149</v>
      </c>
      <c r="C511" s="7">
        <v>0</v>
      </c>
      <c r="D511" s="7">
        <v>193516.95</v>
      </c>
      <c r="E511" s="7">
        <f t="shared" ref="E511" si="539">+C511+D511</f>
        <v>193516.95</v>
      </c>
      <c r="F511" s="7">
        <v>193516.95</v>
      </c>
      <c r="G511" s="7">
        <f t="shared" si="537"/>
        <v>193516.95</v>
      </c>
      <c r="H511" s="7">
        <f t="shared" si="538"/>
        <v>0</v>
      </c>
      <c r="I511" s="29"/>
    </row>
    <row r="512" spans="1:9" s="3" customFormat="1" x14ac:dyDescent="0.25">
      <c r="A512" s="1">
        <v>3.3</v>
      </c>
      <c r="B512" s="3" t="s">
        <v>45</v>
      </c>
      <c r="C512" s="13">
        <f>+C513+C516+C515+C514</f>
        <v>1150000</v>
      </c>
      <c r="D512" s="13">
        <f t="shared" ref="D512:H512" si="540">+D513+D516+D515+D514</f>
        <v>-1150000</v>
      </c>
      <c r="E512" s="13">
        <f t="shared" si="540"/>
        <v>0</v>
      </c>
      <c r="F512" s="13">
        <f t="shared" si="540"/>
        <v>0</v>
      </c>
      <c r="G512" s="13">
        <f t="shared" si="540"/>
        <v>0</v>
      </c>
      <c r="H512" s="13">
        <f t="shared" si="540"/>
        <v>0</v>
      </c>
    </row>
    <row r="513" spans="1:9" x14ac:dyDescent="0.25">
      <c r="A513" s="10" t="s">
        <v>152</v>
      </c>
      <c r="B513" s="2" t="s">
        <v>159</v>
      </c>
      <c r="C513" s="7">
        <v>100000</v>
      </c>
      <c r="D513" s="7">
        <f>0-C513</f>
        <v>-100000</v>
      </c>
      <c r="E513" s="7">
        <f t="shared" ref="E513:E516" si="541">+C513+D513</f>
        <v>0</v>
      </c>
      <c r="F513" s="7">
        <v>0</v>
      </c>
      <c r="G513" s="7">
        <f t="shared" ref="G513:G516" si="542">+F513</f>
        <v>0</v>
      </c>
      <c r="H513" s="7">
        <f t="shared" ref="H513:H516" si="543">+E513-F513</f>
        <v>0</v>
      </c>
    </row>
    <row r="514" spans="1:9" x14ac:dyDescent="0.25">
      <c r="A514" s="10" t="s">
        <v>153</v>
      </c>
      <c r="B514" s="31" t="s">
        <v>160</v>
      </c>
      <c r="C514" s="7">
        <v>500000</v>
      </c>
      <c r="D514" s="7">
        <f>0-C514</f>
        <v>-500000</v>
      </c>
      <c r="E514" s="7">
        <f t="shared" ref="E514" si="544">+C514+D514</f>
        <v>0</v>
      </c>
      <c r="F514" s="7">
        <v>0</v>
      </c>
      <c r="G514" s="7">
        <f t="shared" ref="G514" si="545">+F514</f>
        <v>0</v>
      </c>
      <c r="H514" s="7">
        <f t="shared" ref="H514" si="546">+E514-F514</f>
        <v>0</v>
      </c>
    </row>
    <row r="515" spans="1:9" x14ac:dyDescent="0.25">
      <c r="A515" s="10" t="s">
        <v>154</v>
      </c>
      <c r="B515" s="2" t="s">
        <v>161</v>
      </c>
      <c r="C515" s="7">
        <v>500000</v>
      </c>
      <c r="D515" s="7">
        <f>0-C515</f>
        <v>-500000</v>
      </c>
      <c r="E515" s="7">
        <f t="shared" si="541"/>
        <v>0</v>
      </c>
      <c r="F515" s="7">
        <v>0</v>
      </c>
      <c r="G515" s="7">
        <f t="shared" si="542"/>
        <v>0</v>
      </c>
      <c r="H515" s="7">
        <f t="shared" si="543"/>
        <v>0</v>
      </c>
    </row>
    <row r="516" spans="1:9" ht="17.25" customHeight="1" x14ac:dyDescent="0.25">
      <c r="A516" s="10" t="s">
        <v>156</v>
      </c>
      <c r="B516" s="2" t="s">
        <v>163</v>
      </c>
      <c r="C516" s="7">
        <v>50000</v>
      </c>
      <c r="D516" s="7">
        <f>0-C516</f>
        <v>-50000</v>
      </c>
      <c r="E516" s="7">
        <f t="shared" si="541"/>
        <v>0</v>
      </c>
      <c r="F516" s="7">
        <v>0</v>
      </c>
      <c r="G516" s="7">
        <f t="shared" si="542"/>
        <v>0</v>
      </c>
      <c r="H516" s="7">
        <f t="shared" si="543"/>
        <v>0</v>
      </c>
    </row>
    <row r="517" spans="1:9" s="3" customFormat="1" x14ac:dyDescent="0.25">
      <c r="A517" s="1" t="s">
        <v>370</v>
      </c>
      <c r="B517" s="32" t="s">
        <v>46</v>
      </c>
      <c r="C517" s="13">
        <f>+C518</f>
        <v>200</v>
      </c>
      <c r="D517" s="13">
        <f t="shared" ref="D517:H530" si="547">+D518</f>
        <v>7189.2</v>
      </c>
      <c r="E517" s="13">
        <f t="shared" si="547"/>
        <v>7389.2</v>
      </c>
      <c r="F517" s="13">
        <f t="shared" si="547"/>
        <v>7389.2</v>
      </c>
      <c r="G517" s="13">
        <f t="shared" si="547"/>
        <v>7389.2</v>
      </c>
      <c r="H517" s="13">
        <f t="shared" si="547"/>
        <v>0</v>
      </c>
    </row>
    <row r="518" spans="1:9" x14ac:dyDescent="0.25">
      <c r="A518" s="10" t="s">
        <v>166</v>
      </c>
      <c r="B518" s="31" t="s">
        <v>168</v>
      </c>
      <c r="C518" s="7">
        <v>200</v>
      </c>
      <c r="D518" s="7">
        <f>7389.2-C518</f>
        <v>7189.2</v>
      </c>
      <c r="E518" s="7">
        <f t="shared" ref="E518" si="548">+C518+D518</f>
        <v>7389.2</v>
      </c>
      <c r="F518" s="7">
        <v>7389.2</v>
      </c>
      <c r="G518" s="7">
        <f t="shared" ref="G518" si="549">+F518</f>
        <v>7389.2</v>
      </c>
      <c r="H518" s="7">
        <f t="shared" ref="H518" si="550">+E518-F518</f>
        <v>0</v>
      </c>
    </row>
    <row r="519" spans="1:9" s="3" customFormat="1" x14ac:dyDescent="0.25">
      <c r="A519" s="1">
        <v>3.5</v>
      </c>
      <c r="B519" s="3" t="s">
        <v>47</v>
      </c>
      <c r="C519" s="13">
        <f>+C520</f>
        <v>0</v>
      </c>
      <c r="D519" s="13">
        <f t="shared" si="547"/>
        <v>11525.53</v>
      </c>
      <c r="E519" s="13">
        <f t="shared" si="547"/>
        <v>11525.53</v>
      </c>
      <c r="F519" s="13">
        <f t="shared" si="547"/>
        <v>11525.53</v>
      </c>
      <c r="G519" s="13">
        <f t="shared" si="547"/>
        <v>11525.53</v>
      </c>
      <c r="H519" s="13">
        <f t="shared" si="547"/>
        <v>0</v>
      </c>
    </row>
    <row r="520" spans="1:9" x14ac:dyDescent="0.25">
      <c r="A520" s="10" t="s">
        <v>170</v>
      </c>
      <c r="B520" s="2" t="s">
        <v>175</v>
      </c>
      <c r="C520" s="7">
        <v>0</v>
      </c>
      <c r="D520" s="7">
        <v>11525.53</v>
      </c>
      <c r="E520" s="7">
        <f t="shared" ref="E520" si="551">+C520+D520</f>
        <v>11525.53</v>
      </c>
      <c r="F520" s="7">
        <v>11525.53</v>
      </c>
      <c r="G520" s="7">
        <f t="shared" ref="G520" si="552">+F520</f>
        <v>11525.53</v>
      </c>
      <c r="H520" s="7">
        <f t="shared" ref="H520" si="553">+E520-F520</f>
        <v>0</v>
      </c>
    </row>
    <row r="521" spans="1:9" s="3" customFormat="1" x14ac:dyDescent="0.25">
      <c r="A521" s="1">
        <v>3.5</v>
      </c>
      <c r="B521" s="3" t="s">
        <v>47</v>
      </c>
      <c r="C521" s="13">
        <f>+C522+C525+C527+C529+C523+C524+C526+C528</f>
        <v>0</v>
      </c>
      <c r="D521" s="13">
        <f t="shared" ref="D521:E521" si="554">+D522+D525+D527+D529+D523+D524+D526+D528</f>
        <v>643630.39</v>
      </c>
      <c r="E521" s="13">
        <f t="shared" si="554"/>
        <v>643630.39</v>
      </c>
      <c r="F521" s="13">
        <f>+F522+F525+F527+F529+F523+F524+F526+F528</f>
        <v>643630.39</v>
      </c>
      <c r="G521" s="13">
        <f t="shared" ref="G521:H521" si="555">+G522+G525+G527+G529+G523+G524+G526+G528</f>
        <v>643630.39</v>
      </c>
      <c r="H521" s="13">
        <f t="shared" si="555"/>
        <v>0</v>
      </c>
      <c r="I521" s="29"/>
    </row>
    <row r="522" spans="1:9" x14ac:dyDescent="0.25">
      <c r="A522" s="10" t="s">
        <v>170</v>
      </c>
      <c r="B522" s="2" t="s">
        <v>175</v>
      </c>
      <c r="C522" s="7">
        <v>0</v>
      </c>
      <c r="D522" s="7">
        <v>0</v>
      </c>
      <c r="E522" s="7">
        <f t="shared" ref="E522:E529" si="556">+C522+D522</f>
        <v>0</v>
      </c>
      <c r="F522" s="7">
        <v>0</v>
      </c>
      <c r="G522" s="7">
        <f t="shared" ref="G522:G529" si="557">+F522</f>
        <v>0</v>
      </c>
      <c r="H522" s="7">
        <f t="shared" ref="H522:H529" si="558">+E522-F522</f>
        <v>0</v>
      </c>
      <c r="I522" s="29"/>
    </row>
    <row r="523" spans="1:9" x14ac:dyDescent="0.25">
      <c r="A523" s="10" t="s">
        <v>266</v>
      </c>
      <c r="B523" s="2" t="s">
        <v>310</v>
      </c>
      <c r="C523" s="7">
        <v>0</v>
      </c>
      <c r="D523" s="7">
        <v>0</v>
      </c>
      <c r="E523" s="7">
        <f t="shared" si="556"/>
        <v>0</v>
      </c>
      <c r="F523" s="7">
        <v>0</v>
      </c>
      <c r="G523" s="7">
        <f t="shared" si="557"/>
        <v>0</v>
      </c>
      <c r="H523" s="7">
        <f t="shared" si="558"/>
        <v>0</v>
      </c>
      <c r="I523" s="29"/>
    </row>
    <row r="524" spans="1:9" x14ac:dyDescent="0.25">
      <c r="A524" s="10" t="s">
        <v>309</v>
      </c>
      <c r="B524" s="2" t="s">
        <v>311</v>
      </c>
      <c r="C524" s="7">
        <v>0</v>
      </c>
      <c r="D524" s="7">
        <v>643630.39</v>
      </c>
      <c r="E524" s="7">
        <f t="shared" si="556"/>
        <v>643630.39</v>
      </c>
      <c r="F524" s="7">
        <v>643630.39</v>
      </c>
      <c r="G524" s="7">
        <f t="shared" si="557"/>
        <v>643630.39</v>
      </c>
      <c r="H524" s="7">
        <f t="shared" si="558"/>
        <v>0</v>
      </c>
      <c r="I524" s="29"/>
    </row>
    <row r="525" spans="1:9" x14ac:dyDescent="0.25">
      <c r="A525" s="10" t="s">
        <v>171</v>
      </c>
      <c r="B525" s="2" t="s">
        <v>176</v>
      </c>
      <c r="C525" s="7">
        <v>0</v>
      </c>
      <c r="D525" s="7">
        <v>0</v>
      </c>
      <c r="E525" s="7">
        <f t="shared" si="556"/>
        <v>0</v>
      </c>
      <c r="F525" s="7">
        <v>0</v>
      </c>
      <c r="G525" s="7">
        <f t="shared" si="557"/>
        <v>0</v>
      </c>
      <c r="H525" s="7">
        <f t="shared" si="558"/>
        <v>0</v>
      </c>
      <c r="I525" s="29"/>
    </row>
    <row r="526" spans="1:9" x14ac:dyDescent="0.25">
      <c r="A526" s="10" t="s">
        <v>312</v>
      </c>
      <c r="B526" s="2" t="s">
        <v>313</v>
      </c>
      <c r="C526" s="7">
        <v>0</v>
      </c>
      <c r="D526" s="7">
        <v>0</v>
      </c>
      <c r="E526" s="7">
        <f t="shared" si="556"/>
        <v>0</v>
      </c>
      <c r="F526" s="7">
        <v>0</v>
      </c>
      <c r="G526" s="7">
        <f t="shared" si="557"/>
        <v>0</v>
      </c>
      <c r="H526" s="7">
        <f t="shared" si="558"/>
        <v>0</v>
      </c>
      <c r="I526" s="29"/>
    </row>
    <row r="527" spans="1:9" x14ac:dyDescent="0.25">
      <c r="A527" s="10" t="s">
        <v>172</v>
      </c>
      <c r="B527" s="2" t="s">
        <v>177</v>
      </c>
      <c r="C527" s="7">
        <v>0</v>
      </c>
      <c r="D527" s="7">
        <v>0</v>
      </c>
      <c r="E527" s="7">
        <f t="shared" si="556"/>
        <v>0</v>
      </c>
      <c r="F527" s="7">
        <v>0</v>
      </c>
      <c r="G527" s="7">
        <f t="shared" si="557"/>
        <v>0</v>
      </c>
      <c r="H527" s="7">
        <f t="shared" si="558"/>
        <v>0</v>
      </c>
      <c r="I527" s="29"/>
    </row>
    <row r="528" spans="1:9" x14ac:dyDescent="0.25">
      <c r="A528" s="10" t="s">
        <v>173</v>
      </c>
      <c r="B528" s="2" t="s">
        <v>178</v>
      </c>
      <c r="C528" s="7">
        <v>0</v>
      </c>
      <c r="D528" s="7">
        <v>0</v>
      </c>
      <c r="E528" s="7">
        <f t="shared" si="556"/>
        <v>0</v>
      </c>
      <c r="F528" s="7">
        <v>0</v>
      </c>
      <c r="G528" s="7">
        <f t="shared" si="557"/>
        <v>0</v>
      </c>
      <c r="H528" s="7">
        <f t="shared" si="558"/>
        <v>0</v>
      </c>
      <c r="I528" s="29"/>
    </row>
    <row r="529" spans="1:9" x14ac:dyDescent="0.25">
      <c r="A529" s="10" t="s">
        <v>174</v>
      </c>
      <c r="B529" s="2" t="s">
        <v>179</v>
      </c>
      <c r="C529" s="7">
        <v>0</v>
      </c>
      <c r="D529" s="7">
        <v>0</v>
      </c>
      <c r="E529" s="7">
        <f t="shared" si="556"/>
        <v>0</v>
      </c>
      <c r="F529" s="7">
        <v>0</v>
      </c>
      <c r="G529" s="7">
        <f t="shared" si="557"/>
        <v>0</v>
      </c>
      <c r="H529" s="7">
        <f t="shared" si="558"/>
        <v>0</v>
      </c>
      <c r="I529" s="29"/>
    </row>
    <row r="530" spans="1:9" s="3" customFormat="1" x14ac:dyDescent="0.25">
      <c r="A530" s="1" t="s">
        <v>352</v>
      </c>
      <c r="B530" s="32" t="s">
        <v>48</v>
      </c>
      <c r="C530" s="13">
        <f>+C531</f>
        <v>200000</v>
      </c>
      <c r="D530" s="13">
        <f t="shared" si="547"/>
        <v>44539.31</v>
      </c>
      <c r="E530" s="13">
        <f t="shared" si="547"/>
        <v>244539.31</v>
      </c>
      <c r="F530" s="13">
        <f t="shared" si="547"/>
        <v>244539.31</v>
      </c>
      <c r="G530" s="13">
        <f t="shared" si="547"/>
        <v>244539.31</v>
      </c>
      <c r="H530" s="13">
        <f t="shared" si="547"/>
        <v>0</v>
      </c>
    </row>
    <row r="531" spans="1:9" x14ac:dyDescent="0.25">
      <c r="A531" s="10" t="s">
        <v>180</v>
      </c>
      <c r="B531" s="31" t="s">
        <v>181</v>
      </c>
      <c r="C531" s="7">
        <v>200000</v>
      </c>
      <c r="D531" s="7">
        <f>244539.31-C531</f>
        <v>44539.31</v>
      </c>
      <c r="E531" s="7">
        <f t="shared" ref="E531" si="559">+C531+D531</f>
        <v>244539.31</v>
      </c>
      <c r="F531" s="7">
        <v>244539.31</v>
      </c>
      <c r="G531" s="7">
        <f t="shared" ref="G531" si="560">+F531</f>
        <v>244539.31</v>
      </c>
      <c r="H531" s="7">
        <f t="shared" ref="H531" si="561">+E531-F531</f>
        <v>0</v>
      </c>
    </row>
    <row r="532" spans="1:9" s="3" customFormat="1" x14ac:dyDescent="0.25">
      <c r="A532" s="1">
        <v>3.9</v>
      </c>
      <c r="B532" s="3" t="s">
        <v>26</v>
      </c>
      <c r="C532" s="13">
        <f t="shared" ref="C532:H532" si="562">+C533+C534+C535+C536+C1704+C537</f>
        <v>0</v>
      </c>
      <c r="D532" s="13">
        <f t="shared" si="562"/>
        <v>371936.29</v>
      </c>
      <c r="E532" s="13">
        <f t="shared" si="562"/>
        <v>371936.29</v>
      </c>
      <c r="F532" s="13">
        <f t="shared" si="562"/>
        <v>371936.29</v>
      </c>
      <c r="G532" s="13">
        <f t="shared" si="562"/>
        <v>371936.29</v>
      </c>
      <c r="H532" s="13">
        <f t="shared" si="562"/>
        <v>0</v>
      </c>
      <c r="I532" s="29"/>
    </row>
    <row r="533" spans="1:9" x14ac:dyDescent="0.25">
      <c r="A533" s="10" t="s">
        <v>194</v>
      </c>
      <c r="B533" s="2" t="s">
        <v>199</v>
      </c>
      <c r="C533" s="7">
        <v>0</v>
      </c>
      <c r="D533" s="7">
        <v>0</v>
      </c>
      <c r="E533" s="7">
        <f t="shared" ref="E533:E537" si="563">+C533+D533</f>
        <v>0</v>
      </c>
      <c r="F533" s="7">
        <v>0</v>
      </c>
      <c r="G533" s="7">
        <f t="shared" ref="G533:G537" si="564">+F533</f>
        <v>0</v>
      </c>
      <c r="H533" s="7">
        <f t="shared" ref="H533:H537" si="565">+E533-F533</f>
        <v>0</v>
      </c>
      <c r="I533" s="29"/>
    </row>
    <row r="534" spans="1:9" x14ac:dyDescent="0.25">
      <c r="A534" s="10" t="s">
        <v>195</v>
      </c>
      <c r="B534" s="2" t="s">
        <v>200</v>
      </c>
      <c r="C534" s="7">
        <v>0</v>
      </c>
      <c r="D534" s="7">
        <v>0</v>
      </c>
      <c r="E534" s="7">
        <f t="shared" si="563"/>
        <v>0</v>
      </c>
      <c r="F534" s="7">
        <v>0</v>
      </c>
      <c r="G534" s="7">
        <f t="shared" si="564"/>
        <v>0</v>
      </c>
      <c r="H534" s="7">
        <f t="shared" si="565"/>
        <v>0</v>
      </c>
      <c r="I534" s="29"/>
    </row>
    <row r="535" spans="1:9" x14ac:dyDescent="0.25">
      <c r="A535" s="10" t="s">
        <v>196</v>
      </c>
      <c r="B535" s="2" t="s">
        <v>201</v>
      </c>
      <c r="C535" s="7">
        <v>0</v>
      </c>
      <c r="D535" s="7">
        <v>323133.42</v>
      </c>
      <c r="E535" s="7">
        <f t="shared" si="563"/>
        <v>323133.42</v>
      </c>
      <c r="F535" s="7">
        <v>323133.42</v>
      </c>
      <c r="G535" s="7">
        <f t="shared" si="564"/>
        <v>323133.42</v>
      </c>
      <c r="H535" s="7">
        <f t="shared" si="565"/>
        <v>0</v>
      </c>
      <c r="I535" s="29"/>
    </row>
    <row r="536" spans="1:9" x14ac:dyDescent="0.25">
      <c r="A536" s="10" t="s">
        <v>197</v>
      </c>
      <c r="B536" s="2" t="s">
        <v>202</v>
      </c>
      <c r="C536" s="7">
        <v>0</v>
      </c>
      <c r="D536" s="7">
        <v>0</v>
      </c>
      <c r="E536" s="7">
        <f t="shared" si="563"/>
        <v>0</v>
      </c>
      <c r="F536" s="7">
        <v>0</v>
      </c>
      <c r="G536" s="7">
        <f t="shared" si="564"/>
        <v>0</v>
      </c>
      <c r="H536" s="7">
        <f t="shared" si="565"/>
        <v>0</v>
      </c>
      <c r="I536" s="29"/>
    </row>
    <row r="537" spans="1:9" x14ac:dyDescent="0.25">
      <c r="A537" s="10" t="s">
        <v>198</v>
      </c>
      <c r="B537" s="2" t="s">
        <v>26</v>
      </c>
      <c r="C537" s="7">
        <v>0</v>
      </c>
      <c r="D537" s="7">
        <v>48802.87</v>
      </c>
      <c r="E537" s="7">
        <f t="shared" si="563"/>
        <v>48802.87</v>
      </c>
      <c r="F537" s="7">
        <v>48802.87</v>
      </c>
      <c r="G537" s="7">
        <f t="shared" si="564"/>
        <v>48802.87</v>
      </c>
      <c r="H537" s="7">
        <f t="shared" si="565"/>
        <v>0</v>
      </c>
      <c r="I537" s="29"/>
    </row>
    <row r="538" spans="1:9" s="3" customFormat="1" x14ac:dyDescent="0.25">
      <c r="A538" s="5">
        <v>4</v>
      </c>
      <c r="B538" s="4" t="s">
        <v>49</v>
      </c>
      <c r="C538" s="6">
        <f>+C539</f>
        <v>300000</v>
      </c>
      <c r="D538" s="6">
        <f t="shared" ref="D538:H538" si="566">+D539</f>
        <v>-121715.90000000001</v>
      </c>
      <c r="E538" s="6">
        <f t="shared" si="566"/>
        <v>178284.09999999998</v>
      </c>
      <c r="F538" s="6">
        <f t="shared" si="566"/>
        <v>178284.09999999998</v>
      </c>
      <c r="G538" s="6">
        <f t="shared" si="566"/>
        <v>178284.09999999998</v>
      </c>
      <c r="H538" s="6">
        <f t="shared" si="566"/>
        <v>0</v>
      </c>
    </row>
    <row r="539" spans="1:9" s="3" customFormat="1" x14ac:dyDescent="0.25">
      <c r="A539" s="1">
        <v>4.4000000000000004</v>
      </c>
      <c r="B539" s="3" t="s">
        <v>28</v>
      </c>
      <c r="C539" s="13">
        <f>+C542+C540+C541</f>
        <v>300000</v>
      </c>
      <c r="D539" s="13">
        <f t="shared" ref="D539:H539" si="567">+D542+D540+D541</f>
        <v>-121715.90000000001</v>
      </c>
      <c r="E539" s="13">
        <f t="shared" si="567"/>
        <v>178284.09999999998</v>
      </c>
      <c r="F539" s="13">
        <f t="shared" si="567"/>
        <v>178284.09999999998</v>
      </c>
      <c r="G539" s="13">
        <f t="shared" si="567"/>
        <v>178284.09999999998</v>
      </c>
      <c r="H539" s="13">
        <f t="shared" si="567"/>
        <v>0</v>
      </c>
    </row>
    <row r="540" spans="1:9" x14ac:dyDescent="0.25">
      <c r="A540" s="10" t="s">
        <v>211</v>
      </c>
      <c r="B540" s="2" t="s">
        <v>268</v>
      </c>
      <c r="C540" s="7">
        <v>200000</v>
      </c>
      <c r="D540" s="7">
        <f>175987.3-C540</f>
        <v>-24012.700000000012</v>
      </c>
      <c r="E540" s="7">
        <f t="shared" ref="E540:E542" si="568">+C540+D540</f>
        <v>175987.3</v>
      </c>
      <c r="F540" s="7">
        <v>175987.3</v>
      </c>
      <c r="G540" s="7">
        <f t="shared" ref="G540:G542" si="569">+F540</f>
        <v>175987.3</v>
      </c>
      <c r="H540" s="7">
        <f t="shared" ref="H540:H542" si="570">+E540-F540</f>
        <v>0</v>
      </c>
    </row>
    <row r="541" spans="1:9" x14ac:dyDescent="0.25">
      <c r="A541" s="10" t="s">
        <v>213</v>
      </c>
      <c r="B541" s="31" t="s">
        <v>218</v>
      </c>
      <c r="C541" s="7">
        <v>100000</v>
      </c>
      <c r="D541" s="7">
        <f>2296.8-C541</f>
        <v>-97703.2</v>
      </c>
      <c r="E541" s="7">
        <f t="shared" ref="E541" si="571">+C541+D541</f>
        <v>2296.8000000000029</v>
      </c>
      <c r="F541" s="7">
        <v>2296.8000000000002</v>
      </c>
      <c r="G541" s="7">
        <f t="shared" ref="G541" si="572">+F541</f>
        <v>2296.8000000000002</v>
      </c>
      <c r="H541" s="7">
        <f t="shared" ref="H541" si="573">+E541-F541</f>
        <v>0</v>
      </c>
    </row>
    <row r="542" spans="1:9" x14ac:dyDescent="0.25">
      <c r="A542" s="10" t="s">
        <v>222</v>
      </c>
      <c r="B542" s="2" t="s">
        <v>225</v>
      </c>
      <c r="C542" s="7">
        <v>0</v>
      </c>
      <c r="D542" s="7">
        <v>0</v>
      </c>
      <c r="E542" s="7">
        <f t="shared" si="568"/>
        <v>0</v>
      </c>
      <c r="F542" s="7">
        <v>0</v>
      </c>
      <c r="G542" s="7">
        <f t="shared" si="569"/>
        <v>0</v>
      </c>
      <c r="H542" s="7">
        <f t="shared" si="570"/>
        <v>0</v>
      </c>
    </row>
    <row r="543" spans="1:9" s="3" customFormat="1" x14ac:dyDescent="0.25">
      <c r="A543" s="5">
        <v>5</v>
      </c>
      <c r="B543" s="4" t="s">
        <v>30</v>
      </c>
      <c r="C543" s="6">
        <f>+C544+C550+C555+C547+C552</f>
        <v>1066786</v>
      </c>
      <c r="D543" s="6">
        <f t="shared" ref="D543:H543" si="574">+D544+D550+D555+D547+D552</f>
        <v>-853399.38</v>
      </c>
      <c r="E543" s="6">
        <f t="shared" si="574"/>
        <v>213386.62</v>
      </c>
      <c r="F543" s="6">
        <f t="shared" si="574"/>
        <v>213386.62</v>
      </c>
      <c r="G543" s="6">
        <f t="shared" si="574"/>
        <v>213386.62</v>
      </c>
      <c r="H543" s="6">
        <f t="shared" si="574"/>
        <v>0</v>
      </c>
    </row>
    <row r="544" spans="1:9" s="3" customFormat="1" x14ac:dyDescent="0.25">
      <c r="A544" s="1">
        <v>5.0999999999999996</v>
      </c>
      <c r="B544" s="3" t="s">
        <v>31</v>
      </c>
      <c r="C544" s="13">
        <f>+C545+C546</f>
        <v>300000</v>
      </c>
      <c r="D544" s="13">
        <f t="shared" ref="D544:H544" si="575">+D545+D546</f>
        <v>-177515.38</v>
      </c>
      <c r="E544" s="13">
        <f>+E545+E546</f>
        <v>122484.62</v>
      </c>
      <c r="F544" s="13">
        <f t="shared" si="575"/>
        <v>122484.62</v>
      </c>
      <c r="G544" s="13">
        <f t="shared" si="575"/>
        <v>122484.62</v>
      </c>
      <c r="H544" s="13">
        <f t="shared" si="575"/>
        <v>0</v>
      </c>
    </row>
    <row r="545" spans="1:10" x14ac:dyDescent="0.25">
      <c r="A545" s="10" t="s">
        <v>228</v>
      </c>
      <c r="B545" s="2" t="s">
        <v>231</v>
      </c>
      <c r="C545" s="7">
        <v>0</v>
      </c>
      <c r="D545" s="7">
        <v>17284</v>
      </c>
      <c r="E545" s="7">
        <f t="shared" ref="E545:E546" si="576">+C545+D545</f>
        <v>17284</v>
      </c>
      <c r="F545" s="7">
        <v>17284</v>
      </c>
      <c r="G545" s="7">
        <f t="shared" ref="G545:G546" si="577">+F545</f>
        <v>17284</v>
      </c>
      <c r="H545" s="7">
        <f t="shared" ref="H545:H546" si="578">+E545-F545</f>
        <v>0</v>
      </c>
    </row>
    <row r="546" spans="1:10" x14ac:dyDescent="0.25">
      <c r="A546" s="10" t="s">
        <v>229</v>
      </c>
      <c r="B546" s="2" t="s">
        <v>232</v>
      </c>
      <c r="C546" s="7">
        <v>300000</v>
      </c>
      <c r="D546" s="7">
        <f>105200.62-C546</f>
        <v>-194799.38</v>
      </c>
      <c r="E546" s="7">
        <f t="shared" si="576"/>
        <v>105200.62</v>
      </c>
      <c r="F546" s="7">
        <v>105200.62</v>
      </c>
      <c r="G546" s="7">
        <f t="shared" si="577"/>
        <v>105200.62</v>
      </c>
      <c r="H546" s="7">
        <f t="shared" si="578"/>
        <v>0</v>
      </c>
    </row>
    <row r="547" spans="1:10" s="3" customFormat="1" x14ac:dyDescent="0.25">
      <c r="A547" s="1">
        <v>5.2</v>
      </c>
      <c r="B547" s="3" t="s">
        <v>52</v>
      </c>
      <c r="C547" s="13">
        <f>+C548+C549</f>
        <v>0</v>
      </c>
      <c r="D547" s="13">
        <f t="shared" ref="D547:H547" si="579">+D548+D549</f>
        <v>45820</v>
      </c>
      <c r="E547" s="13">
        <f t="shared" si="579"/>
        <v>45820</v>
      </c>
      <c r="F547" s="13">
        <f t="shared" si="579"/>
        <v>45820</v>
      </c>
      <c r="G547" s="13">
        <f t="shared" si="579"/>
        <v>45820</v>
      </c>
      <c r="H547" s="13">
        <f t="shared" si="579"/>
        <v>0</v>
      </c>
      <c r="I547" s="13"/>
    </row>
    <row r="548" spans="1:10" x14ac:dyDescent="0.25">
      <c r="A548" s="10" t="s">
        <v>233</v>
      </c>
      <c r="B548" s="2" t="s">
        <v>236</v>
      </c>
      <c r="C548" s="7">
        <v>0</v>
      </c>
      <c r="D548" s="7">
        <v>0</v>
      </c>
      <c r="E548" s="7">
        <f>+C548+D548</f>
        <v>0</v>
      </c>
      <c r="F548" s="7">
        <v>0</v>
      </c>
      <c r="G548" s="7">
        <f t="shared" ref="G548" si="580">+F548</f>
        <v>0</v>
      </c>
      <c r="H548" s="7">
        <f t="shared" ref="H548" si="581">+E548-F548</f>
        <v>0</v>
      </c>
    </row>
    <row r="549" spans="1:10" x14ac:dyDescent="0.25">
      <c r="A549" s="10" t="s">
        <v>234</v>
      </c>
      <c r="B549" s="2" t="s">
        <v>390</v>
      </c>
      <c r="C549" s="7">
        <v>0</v>
      </c>
      <c r="D549" s="7">
        <v>45820</v>
      </c>
      <c r="E549" s="7">
        <f>+C549+D549</f>
        <v>45820</v>
      </c>
      <c r="F549" s="7">
        <v>45820</v>
      </c>
      <c r="G549" s="7">
        <f t="shared" ref="G549" si="582">+F549</f>
        <v>45820</v>
      </c>
      <c r="H549" s="7">
        <f t="shared" ref="H549" si="583">+E549-F549</f>
        <v>0</v>
      </c>
    </row>
    <row r="550" spans="1:10" s="3" customFormat="1" x14ac:dyDescent="0.25">
      <c r="A550" s="1">
        <v>5.4</v>
      </c>
      <c r="B550" s="3" t="s">
        <v>32</v>
      </c>
      <c r="C550" s="13">
        <f>+C551</f>
        <v>686786</v>
      </c>
      <c r="D550" s="13">
        <f t="shared" ref="D550:H550" si="584">+D551</f>
        <v>-686786</v>
      </c>
      <c r="E550" s="13">
        <f t="shared" si="584"/>
        <v>0</v>
      </c>
      <c r="F550" s="13">
        <f t="shared" si="584"/>
        <v>0</v>
      </c>
      <c r="G550" s="13">
        <f t="shared" si="584"/>
        <v>0</v>
      </c>
      <c r="H550" s="13">
        <f t="shared" si="584"/>
        <v>0</v>
      </c>
    </row>
    <row r="551" spans="1:10" x14ac:dyDescent="0.25">
      <c r="A551" s="10" t="s">
        <v>239</v>
      </c>
      <c r="B551" s="2" t="s">
        <v>240</v>
      </c>
      <c r="C551" s="7">
        <v>686786</v>
      </c>
      <c r="D551" s="7">
        <f>0-C551</f>
        <v>-686786</v>
      </c>
      <c r="E551" s="7">
        <f t="shared" ref="E551" si="585">+C551+D551</f>
        <v>0</v>
      </c>
      <c r="F551" s="7">
        <v>0</v>
      </c>
      <c r="G551" s="7">
        <f t="shared" ref="G551" si="586">+F551</f>
        <v>0</v>
      </c>
      <c r="H551" s="7">
        <f t="shared" ref="H551" si="587">+E551-F551</f>
        <v>0</v>
      </c>
    </row>
    <row r="552" spans="1:10" s="3" customFormat="1" x14ac:dyDescent="0.25">
      <c r="A552" s="1" t="s">
        <v>391</v>
      </c>
      <c r="B552" s="3" t="s">
        <v>33</v>
      </c>
      <c r="C552" s="13">
        <f>+C553+C554</f>
        <v>0</v>
      </c>
      <c r="D552" s="13">
        <f t="shared" ref="D552:H552" si="588">+D553+D554</f>
        <v>45082</v>
      </c>
      <c r="E552" s="13">
        <f t="shared" si="588"/>
        <v>45082</v>
      </c>
      <c r="F552" s="13">
        <f t="shared" si="588"/>
        <v>45082</v>
      </c>
      <c r="G552" s="13">
        <f t="shared" si="588"/>
        <v>45082</v>
      </c>
      <c r="H552" s="13">
        <f t="shared" si="588"/>
        <v>0</v>
      </c>
    </row>
    <row r="553" spans="1:10" x14ac:dyDescent="0.25">
      <c r="A553" s="10" t="s">
        <v>241</v>
      </c>
      <c r="B553" s="2" t="s">
        <v>244</v>
      </c>
      <c r="C553" s="7">
        <v>0</v>
      </c>
      <c r="D553" s="7">
        <v>10324</v>
      </c>
      <c r="E553" s="7">
        <f t="shared" ref="E553" si="589">+C553+D553</f>
        <v>10324</v>
      </c>
      <c r="F553" s="7">
        <v>10324</v>
      </c>
      <c r="G553" s="7">
        <f t="shared" ref="G553" si="590">+F553</f>
        <v>10324</v>
      </c>
      <c r="H553" s="7">
        <f t="shared" ref="H553" si="591">+E553-F553</f>
        <v>0</v>
      </c>
    </row>
    <row r="554" spans="1:10" x14ac:dyDescent="0.25">
      <c r="A554" s="10" t="s">
        <v>242</v>
      </c>
      <c r="B554" s="2" t="s">
        <v>245</v>
      </c>
      <c r="C554" s="7">
        <v>0</v>
      </c>
      <c r="D554" s="7">
        <v>34758</v>
      </c>
      <c r="E554" s="7">
        <f t="shared" ref="E554" si="592">+C554+D554</f>
        <v>34758</v>
      </c>
      <c r="F554" s="7">
        <v>34758</v>
      </c>
      <c r="G554" s="7">
        <f t="shared" ref="G554" si="593">+F554</f>
        <v>34758</v>
      </c>
      <c r="H554" s="7">
        <f t="shared" ref="H554" si="594">+E554-F554</f>
        <v>0</v>
      </c>
    </row>
    <row r="555" spans="1:10" s="3" customFormat="1" x14ac:dyDescent="0.25">
      <c r="A555" s="1">
        <v>5.9</v>
      </c>
      <c r="B555" s="3" t="s">
        <v>34</v>
      </c>
      <c r="C555" s="13">
        <f>+C556</f>
        <v>80000</v>
      </c>
      <c r="D555" s="13">
        <f t="shared" ref="D555:H555" si="595">+D556</f>
        <v>-80000</v>
      </c>
      <c r="E555" s="13">
        <f>+E556</f>
        <v>0</v>
      </c>
      <c r="F555" s="13">
        <f>+F556</f>
        <v>0</v>
      </c>
      <c r="G555" s="13">
        <f t="shared" si="595"/>
        <v>0</v>
      </c>
      <c r="H555" s="13">
        <f t="shared" si="595"/>
        <v>0</v>
      </c>
    </row>
    <row r="556" spans="1:10" x14ac:dyDescent="0.25">
      <c r="A556" s="10" t="s">
        <v>247</v>
      </c>
      <c r="B556" s="2" t="s">
        <v>248</v>
      </c>
      <c r="C556" s="7">
        <v>80000</v>
      </c>
      <c r="D556" s="7">
        <f>0-C556</f>
        <v>-80000</v>
      </c>
      <c r="E556" s="7">
        <f t="shared" ref="E556" si="596">+C556+D556</f>
        <v>0</v>
      </c>
      <c r="F556" s="7">
        <v>0</v>
      </c>
      <c r="G556" s="7">
        <f t="shared" ref="G556" si="597">+F556</f>
        <v>0</v>
      </c>
      <c r="H556" s="7">
        <f t="shared" ref="H556" si="598">+E556-F556</f>
        <v>0</v>
      </c>
    </row>
    <row r="557" spans="1:10" s="3" customFormat="1" x14ac:dyDescent="0.25">
      <c r="A557" s="1"/>
      <c r="C557" s="6"/>
      <c r="D557" s="19"/>
      <c r="E557" s="19"/>
      <c r="F557" s="19"/>
      <c r="G557" s="19"/>
      <c r="H557" s="19"/>
    </row>
    <row r="558" spans="1:10" s="17" customFormat="1" ht="30" customHeight="1" x14ac:dyDescent="0.25">
      <c r="A558" s="37" t="s">
        <v>65</v>
      </c>
      <c r="B558" s="37"/>
      <c r="C558" s="16">
        <f>+C559+C562</f>
        <v>13140692</v>
      </c>
      <c r="D558" s="16">
        <f t="shared" ref="D558:H558" si="599">+D559+D562</f>
        <v>475533.9999999993</v>
      </c>
      <c r="E558" s="16">
        <f t="shared" si="599"/>
        <v>13616226</v>
      </c>
      <c r="F558" s="16">
        <f>+F559+F562</f>
        <v>13616226</v>
      </c>
      <c r="G558" s="16">
        <f t="shared" si="599"/>
        <v>6669971.8300000001</v>
      </c>
      <c r="H558" s="16">
        <f t="shared" si="599"/>
        <v>0</v>
      </c>
      <c r="J558" s="18"/>
    </row>
    <row r="559" spans="1:10" s="3" customFormat="1" x14ac:dyDescent="0.25">
      <c r="A559" s="5">
        <v>3</v>
      </c>
      <c r="B559" s="4" t="s">
        <v>21</v>
      </c>
      <c r="C559" s="6">
        <f>+C560</f>
        <v>0</v>
      </c>
      <c r="D559" s="6">
        <f t="shared" ref="D559:H560" si="600">+D560</f>
        <v>0</v>
      </c>
      <c r="E559" s="6">
        <f t="shared" si="600"/>
        <v>0</v>
      </c>
      <c r="F559" s="6">
        <f t="shared" si="600"/>
        <v>0</v>
      </c>
      <c r="G559" s="6">
        <f t="shared" si="600"/>
        <v>0</v>
      </c>
      <c r="H559" s="6">
        <f t="shared" si="600"/>
        <v>0</v>
      </c>
    </row>
    <row r="560" spans="1:10" s="3" customFormat="1" x14ac:dyDescent="0.25">
      <c r="A560" s="1">
        <v>3.9</v>
      </c>
      <c r="B560" s="3" t="s">
        <v>26</v>
      </c>
      <c r="C560" s="13">
        <f>+C561</f>
        <v>0</v>
      </c>
      <c r="D560" s="13">
        <f t="shared" si="600"/>
        <v>0</v>
      </c>
      <c r="E560" s="13">
        <f t="shared" si="600"/>
        <v>0</v>
      </c>
      <c r="F560" s="13">
        <f t="shared" si="600"/>
        <v>0</v>
      </c>
      <c r="G560" s="13">
        <f t="shared" si="600"/>
        <v>0</v>
      </c>
      <c r="H560" s="13">
        <f t="shared" si="600"/>
        <v>0</v>
      </c>
    </row>
    <row r="561" spans="1:10" x14ac:dyDescent="0.25">
      <c r="A561" s="10" t="s">
        <v>196</v>
      </c>
      <c r="B561" s="2" t="s">
        <v>201</v>
      </c>
      <c r="C561" s="7">
        <v>0</v>
      </c>
      <c r="D561" s="7">
        <f>0-C561</f>
        <v>0</v>
      </c>
      <c r="E561" s="7">
        <f t="shared" ref="E561" si="601">+C561+D561</f>
        <v>0</v>
      </c>
      <c r="F561" s="7">
        <v>0</v>
      </c>
      <c r="G561" s="7">
        <f t="shared" ref="G561" si="602">+F561</f>
        <v>0</v>
      </c>
      <c r="H561" s="7">
        <f t="shared" ref="H561" si="603">+E561-F561</f>
        <v>0</v>
      </c>
    </row>
    <row r="562" spans="1:10" x14ac:dyDescent="0.25">
      <c r="A562" s="5">
        <v>6</v>
      </c>
      <c r="B562" s="4" t="s">
        <v>35</v>
      </c>
      <c r="C562" s="6">
        <f>+C563</f>
        <v>13140692</v>
      </c>
      <c r="D562" s="6">
        <f t="shared" ref="D562:H562" si="604">+D563</f>
        <v>475533.9999999993</v>
      </c>
      <c r="E562" s="6">
        <f t="shared" si="604"/>
        <v>13616226</v>
      </c>
      <c r="F562" s="6">
        <f t="shared" si="604"/>
        <v>13616226</v>
      </c>
      <c r="G562" s="6">
        <f t="shared" si="604"/>
        <v>6669971.8300000001</v>
      </c>
      <c r="H562" s="6">
        <f t="shared" si="604"/>
        <v>0</v>
      </c>
    </row>
    <row r="563" spans="1:10" s="3" customFormat="1" x14ac:dyDescent="0.25">
      <c r="A563" s="1">
        <v>6.1</v>
      </c>
      <c r="B563" s="3" t="s">
        <v>53</v>
      </c>
      <c r="C563" s="13">
        <f>+C564+C565+C566+C567+C568</f>
        <v>13140692</v>
      </c>
      <c r="D563" s="13">
        <f>+D564+D565+D566+D567+D568</f>
        <v>475533.9999999993</v>
      </c>
      <c r="E563" s="13">
        <f t="shared" ref="E563:H563" si="605">+E564+E565+E566+E567+E568</f>
        <v>13616226</v>
      </c>
      <c r="F563" s="13">
        <f t="shared" si="605"/>
        <v>13616226</v>
      </c>
      <c r="G563" s="13">
        <f t="shared" si="605"/>
        <v>6669971.8300000001</v>
      </c>
      <c r="H563" s="13">
        <f t="shared" si="605"/>
        <v>0</v>
      </c>
    </row>
    <row r="564" spans="1:10" x14ac:dyDescent="0.25">
      <c r="A564" s="10" t="s">
        <v>249</v>
      </c>
      <c r="B564" s="2" t="s">
        <v>254</v>
      </c>
      <c r="C564" s="7">
        <v>0</v>
      </c>
      <c r="D564" s="7">
        <v>7042433.8499999996</v>
      </c>
      <c r="E564" s="7">
        <f t="shared" ref="E564:E568" si="606">+C564+D564</f>
        <v>7042433.8499999996</v>
      </c>
      <c r="F564" s="7">
        <v>7042433.8499999996</v>
      </c>
      <c r="G564" s="7">
        <v>2621904.02</v>
      </c>
      <c r="H564" s="7">
        <f t="shared" ref="H564:H568" si="607">+E564-F564</f>
        <v>0</v>
      </c>
    </row>
    <row r="565" spans="1:10" x14ac:dyDescent="0.25">
      <c r="A565" s="10" t="s">
        <v>250</v>
      </c>
      <c r="B565" s="2" t="s">
        <v>258</v>
      </c>
      <c r="C565" s="7">
        <v>7417139</v>
      </c>
      <c r="D565" s="7">
        <f>1870552.93-C565</f>
        <v>-5546586.0700000003</v>
      </c>
      <c r="E565" s="7">
        <f t="shared" si="606"/>
        <v>1870552.9299999997</v>
      </c>
      <c r="F565" s="7">
        <v>1870552.93</v>
      </c>
      <c r="G565" s="7">
        <v>1234872.83</v>
      </c>
      <c r="H565" s="7">
        <f t="shared" si="607"/>
        <v>0</v>
      </c>
    </row>
    <row r="566" spans="1:10" x14ac:dyDescent="0.25">
      <c r="A566" s="10" t="s">
        <v>251</v>
      </c>
      <c r="B566" s="2" t="s">
        <v>255</v>
      </c>
      <c r="C566" s="7">
        <v>3560204</v>
      </c>
      <c r="D566" s="7">
        <f>2660805.38-C566</f>
        <v>-899398.62000000011</v>
      </c>
      <c r="E566" s="7">
        <f>+C566+D566</f>
        <v>2660805.38</v>
      </c>
      <c r="F566" s="7">
        <v>2660805.38</v>
      </c>
      <c r="G566" s="7">
        <v>1566921.16</v>
      </c>
      <c r="H566" s="7">
        <f>+E566-F566</f>
        <v>0</v>
      </c>
    </row>
    <row r="567" spans="1:10" x14ac:dyDescent="0.25">
      <c r="A567" s="10" t="s">
        <v>252</v>
      </c>
      <c r="B567" s="2" t="s">
        <v>256</v>
      </c>
      <c r="C567" s="7">
        <v>1900000</v>
      </c>
      <c r="D567" s="7">
        <f>2042433.84-C567</f>
        <v>142433.84000000008</v>
      </c>
      <c r="E567" s="7">
        <f t="shared" si="606"/>
        <v>2042433.84</v>
      </c>
      <c r="F567" s="7">
        <v>2042433.84</v>
      </c>
      <c r="G567" s="7">
        <v>1246273.82</v>
      </c>
      <c r="H567" s="7">
        <f t="shared" si="607"/>
        <v>0</v>
      </c>
    </row>
    <row r="568" spans="1:10" x14ac:dyDescent="0.25">
      <c r="A568" s="10" t="s">
        <v>253</v>
      </c>
      <c r="B568" s="2" t="s">
        <v>257</v>
      </c>
      <c r="C568" s="7">
        <v>263349</v>
      </c>
      <c r="D568" s="7">
        <f>0-C568</f>
        <v>-263349</v>
      </c>
      <c r="E568" s="7">
        <f t="shared" si="606"/>
        <v>0</v>
      </c>
      <c r="F568" s="7">
        <v>0</v>
      </c>
      <c r="G568" s="7">
        <f>+F568</f>
        <v>0</v>
      </c>
      <c r="H568" s="7">
        <f t="shared" si="607"/>
        <v>0</v>
      </c>
    </row>
    <row r="569" spans="1:10" x14ac:dyDescent="0.25">
      <c r="A569" s="1"/>
      <c r="B569" s="3"/>
      <c r="C569" s="20"/>
      <c r="D569" s="21"/>
      <c r="E569" s="21"/>
      <c r="F569" s="21"/>
      <c r="G569" s="21"/>
      <c r="H569" s="21"/>
    </row>
    <row r="570" spans="1:10" s="17" customFormat="1" ht="15.75" x14ac:dyDescent="0.25">
      <c r="A570" s="14" t="s">
        <v>66</v>
      </c>
      <c r="B570" s="15"/>
      <c r="C570" s="16">
        <f t="shared" ref="C570:H570" si="608">+C571+C577</f>
        <v>0</v>
      </c>
      <c r="D570" s="16">
        <f t="shared" si="608"/>
        <v>2025819.48</v>
      </c>
      <c r="E570" s="16">
        <f t="shared" si="608"/>
        <v>2025819.48</v>
      </c>
      <c r="F570" s="16">
        <f t="shared" si="608"/>
        <v>1905506.37</v>
      </c>
      <c r="G570" s="16">
        <f t="shared" si="608"/>
        <v>1905506.37</v>
      </c>
      <c r="H570" s="16">
        <f t="shared" si="608"/>
        <v>120313.10999999996</v>
      </c>
      <c r="J570" s="18"/>
    </row>
    <row r="571" spans="1:10" x14ac:dyDescent="0.25">
      <c r="A571" s="5">
        <v>1</v>
      </c>
      <c r="B571" s="4" t="s">
        <v>12</v>
      </c>
      <c r="C571" s="6">
        <f>+C572+C574</f>
        <v>0</v>
      </c>
      <c r="D571" s="6">
        <f t="shared" ref="D571:H571" si="609">+D572+D574</f>
        <v>2005597.4</v>
      </c>
      <c r="E571" s="6">
        <f t="shared" si="609"/>
        <v>2005597.4</v>
      </c>
      <c r="F571" s="6">
        <f t="shared" si="609"/>
        <v>1900799.57</v>
      </c>
      <c r="G571" s="6">
        <f t="shared" si="609"/>
        <v>1900799.57</v>
      </c>
      <c r="H571" s="6">
        <f t="shared" si="609"/>
        <v>104797.82999999996</v>
      </c>
    </row>
    <row r="572" spans="1:10" s="3" customFormat="1" x14ac:dyDescent="0.25">
      <c r="A572" s="1">
        <v>1.4</v>
      </c>
      <c r="B572" s="3" t="s">
        <v>14</v>
      </c>
      <c r="C572" s="13">
        <f>+C573</f>
        <v>0</v>
      </c>
      <c r="D572" s="13">
        <f t="shared" ref="D572:H572" si="610">+D573</f>
        <v>0</v>
      </c>
      <c r="E572" s="13">
        <f t="shared" si="610"/>
        <v>0</v>
      </c>
      <c r="F572" s="13">
        <f t="shared" si="610"/>
        <v>0</v>
      </c>
      <c r="G572" s="13">
        <f t="shared" si="610"/>
        <v>0</v>
      </c>
      <c r="H572" s="13">
        <f t="shared" si="610"/>
        <v>0</v>
      </c>
    </row>
    <row r="573" spans="1:10" x14ac:dyDescent="0.25">
      <c r="A573" s="10" t="s">
        <v>86</v>
      </c>
      <c r="B573" s="2" t="s">
        <v>87</v>
      </c>
      <c r="C573" s="7">
        <v>0</v>
      </c>
      <c r="D573" s="7">
        <v>0</v>
      </c>
      <c r="E573" s="7">
        <f>+C573+D573</f>
        <v>0</v>
      </c>
      <c r="F573" s="7">
        <v>0</v>
      </c>
      <c r="G573" s="7">
        <f>+F573</f>
        <v>0</v>
      </c>
      <c r="H573" s="7">
        <f>+E573-F573</f>
        <v>0</v>
      </c>
    </row>
    <row r="574" spans="1:10" s="3" customFormat="1" ht="17.25" customHeight="1" x14ac:dyDescent="0.25">
      <c r="A574" s="22">
        <v>1.5</v>
      </c>
      <c r="B574" s="3" t="s">
        <v>398</v>
      </c>
      <c r="C574" s="13">
        <f>+C575+C576</f>
        <v>0</v>
      </c>
      <c r="D574" s="13">
        <f t="shared" ref="D574:H574" si="611">+D575+D576</f>
        <v>2005597.4</v>
      </c>
      <c r="E574" s="13">
        <f t="shared" si="611"/>
        <v>2005597.4</v>
      </c>
      <c r="F574" s="13">
        <f t="shared" si="611"/>
        <v>1900799.57</v>
      </c>
      <c r="G574" s="13">
        <f t="shared" si="611"/>
        <v>1900799.57</v>
      </c>
      <c r="H574" s="13">
        <f t="shared" si="611"/>
        <v>104797.82999999996</v>
      </c>
    </row>
    <row r="575" spans="1:10" x14ac:dyDescent="0.25">
      <c r="A575" s="10" t="s">
        <v>88</v>
      </c>
      <c r="B575" s="2" t="s">
        <v>399</v>
      </c>
      <c r="C575" s="7">
        <v>0</v>
      </c>
      <c r="D575" s="7">
        <v>305297.40000000002</v>
      </c>
      <c r="E575" s="7">
        <f>+C575+D575</f>
        <v>305297.40000000002</v>
      </c>
      <c r="F575" s="7">
        <v>301148.52</v>
      </c>
      <c r="G575" s="7">
        <v>301148.52</v>
      </c>
      <c r="H575" s="7">
        <f>+E575-F575</f>
        <v>4148.8800000000047</v>
      </c>
    </row>
    <row r="576" spans="1:10" x14ac:dyDescent="0.25">
      <c r="A576" s="10" t="s">
        <v>90</v>
      </c>
      <c r="B576" s="2" t="s">
        <v>398</v>
      </c>
      <c r="C576" s="7">
        <v>0</v>
      </c>
      <c r="D576" s="7">
        <v>1700300</v>
      </c>
      <c r="E576" s="7">
        <f>+C576+D576</f>
        <v>1700300</v>
      </c>
      <c r="F576" s="7">
        <v>1599651.05</v>
      </c>
      <c r="G576" s="7">
        <f>+F576</f>
        <v>1599651.05</v>
      </c>
      <c r="H576" s="7">
        <f>+E576-F576</f>
        <v>100648.94999999995</v>
      </c>
    </row>
    <row r="577" spans="1:10" s="3" customFormat="1" x14ac:dyDescent="0.25">
      <c r="A577" s="5">
        <v>3</v>
      </c>
      <c r="B577" s="4" t="s">
        <v>21</v>
      </c>
      <c r="C577" s="6">
        <f>+C580+C578</f>
        <v>0</v>
      </c>
      <c r="D577" s="6">
        <f t="shared" ref="D577:H577" si="612">+D580+D578</f>
        <v>20222.080000000002</v>
      </c>
      <c r="E577" s="6">
        <f t="shared" si="612"/>
        <v>20222.080000000002</v>
      </c>
      <c r="F577" s="6">
        <f t="shared" si="612"/>
        <v>4706.8</v>
      </c>
      <c r="G577" s="6">
        <f t="shared" si="612"/>
        <v>4706.8</v>
      </c>
      <c r="H577" s="6">
        <f t="shared" si="612"/>
        <v>15515.280000000002</v>
      </c>
    </row>
    <row r="578" spans="1:10" s="3" customFormat="1" x14ac:dyDescent="0.25">
      <c r="A578" s="5" t="s">
        <v>370</v>
      </c>
      <c r="B578" s="4" t="s">
        <v>401</v>
      </c>
      <c r="C578" s="13">
        <f>+C579</f>
        <v>0</v>
      </c>
      <c r="D578" s="13">
        <f t="shared" ref="D578:H580" si="613">+D579</f>
        <v>0</v>
      </c>
      <c r="E578" s="13">
        <f t="shared" si="613"/>
        <v>0</v>
      </c>
      <c r="F578" s="13">
        <f t="shared" si="613"/>
        <v>0</v>
      </c>
      <c r="G578" s="13">
        <f t="shared" si="613"/>
        <v>0</v>
      </c>
      <c r="H578" s="13">
        <f t="shared" si="613"/>
        <v>0</v>
      </c>
    </row>
    <row r="579" spans="1:10" x14ac:dyDescent="0.25">
      <c r="A579" s="34" t="s">
        <v>166</v>
      </c>
      <c r="B579" s="12" t="s">
        <v>400</v>
      </c>
      <c r="C579" s="7">
        <v>0</v>
      </c>
      <c r="D579" s="7">
        <v>0</v>
      </c>
      <c r="E579" s="7">
        <f t="shared" ref="E579" si="614">+C579+D579</f>
        <v>0</v>
      </c>
      <c r="F579" s="7">
        <v>0</v>
      </c>
      <c r="G579" s="7">
        <f t="shared" ref="G579" si="615">+F579</f>
        <v>0</v>
      </c>
      <c r="H579" s="7">
        <f t="shared" ref="H579" si="616">+E579-F579</f>
        <v>0</v>
      </c>
    </row>
    <row r="580" spans="1:10" s="3" customFormat="1" x14ac:dyDescent="0.25">
      <c r="A580" s="1">
        <v>3.7</v>
      </c>
      <c r="B580" s="3" t="s">
        <v>24</v>
      </c>
      <c r="C580" s="13">
        <f>+C581</f>
        <v>0</v>
      </c>
      <c r="D580" s="13">
        <f t="shared" si="613"/>
        <v>20222.080000000002</v>
      </c>
      <c r="E580" s="13">
        <f t="shared" si="613"/>
        <v>20222.080000000002</v>
      </c>
      <c r="F580" s="13">
        <f t="shared" si="613"/>
        <v>4706.8</v>
      </c>
      <c r="G580" s="13">
        <f t="shared" si="613"/>
        <v>4706.8</v>
      </c>
      <c r="H580" s="13">
        <f t="shared" si="613"/>
        <v>15515.280000000002</v>
      </c>
    </row>
    <row r="581" spans="1:10" x14ac:dyDescent="0.25">
      <c r="A581" s="10" t="s">
        <v>183</v>
      </c>
      <c r="B581" s="2" t="s">
        <v>186</v>
      </c>
      <c r="C581" s="7">
        <v>0</v>
      </c>
      <c r="D581" s="7">
        <v>20222.080000000002</v>
      </c>
      <c r="E581" s="7">
        <f t="shared" ref="E581" si="617">+C581+D581</f>
        <v>20222.080000000002</v>
      </c>
      <c r="F581" s="7">
        <v>4706.8</v>
      </c>
      <c r="G581" s="7">
        <f t="shared" ref="G581" si="618">+F581</f>
        <v>4706.8</v>
      </c>
      <c r="H581" s="7">
        <f t="shared" ref="H581" si="619">+E581-F581</f>
        <v>15515.280000000002</v>
      </c>
    </row>
    <row r="582" spans="1:10" x14ac:dyDescent="0.25">
      <c r="A582" s="1"/>
      <c r="B582" s="3"/>
      <c r="C582" s="20"/>
      <c r="D582" s="21"/>
      <c r="E582" s="21"/>
      <c r="F582" s="21"/>
      <c r="G582" s="21"/>
      <c r="H582" s="21"/>
    </row>
    <row r="583" spans="1:10" s="17" customFormat="1" ht="15.75" x14ac:dyDescent="0.25">
      <c r="A583" s="14" t="s">
        <v>67</v>
      </c>
      <c r="B583" s="15"/>
      <c r="C583" s="16">
        <f t="shared" ref="C583:H583" si="620">+C584+C596+C604+C611</f>
        <v>0</v>
      </c>
      <c r="D583" s="16">
        <f t="shared" si="620"/>
        <v>10142999.059999999</v>
      </c>
      <c r="E583" s="16">
        <f t="shared" si="620"/>
        <v>10142999.059999999</v>
      </c>
      <c r="F583" s="16">
        <f t="shared" si="620"/>
        <v>10036581.5</v>
      </c>
      <c r="G583" s="16">
        <f t="shared" si="620"/>
        <v>10036581.5</v>
      </c>
      <c r="H583" s="16">
        <f t="shared" si="620"/>
        <v>106417.55999999982</v>
      </c>
      <c r="J583" s="18"/>
    </row>
    <row r="584" spans="1:10" s="3" customFormat="1" x14ac:dyDescent="0.25">
      <c r="A584" s="5">
        <v>2</v>
      </c>
      <c r="B584" s="4" t="s">
        <v>17</v>
      </c>
      <c r="C584" s="6">
        <f t="shared" ref="C584:E584" si="621">+C590+C593+C585</f>
        <v>0</v>
      </c>
      <c r="D584" s="6">
        <f t="shared" si="621"/>
        <v>2907872.36</v>
      </c>
      <c r="E584" s="6">
        <f t="shared" si="621"/>
        <v>2907872.36</v>
      </c>
      <c r="F584" s="6">
        <f>+F590+F593+F585</f>
        <v>2801454.8</v>
      </c>
      <c r="G584" s="6">
        <f t="shared" ref="G584:H584" si="622">+G590+G593+G585</f>
        <v>2801454.8</v>
      </c>
      <c r="H584" s="6">
        <f t="shared" si="622"/>
        <v>106417.55999999982</v>
      </c>
    </row>
    <row r="585" spans="1:10" s="3" customFormat="1" x14ac:dyDescent="0.25">
      <c r="A585" s="22">
        <v>2.1</v>
      </c>
      <c r="B585" s="3" t="s">
        <v>64</v>
      </c>
      <c r="C585" s="13">
        <f>+C586+C587+C588+C589</f>
        <v>0</v>
      </c>
      <c r="D585" s="13">
        <f t="shared" ref="D585:H585" si="623">+D586+D587+D588+D589</f>
        <v>12557.169999999998</v>
      </c>
      <c r="E585" s="13">
        <f t="shared" si="623"/>
        <v>12557.169999999998</v>
      </c>
      <c r="F585" s="13">
        <f t="shared" si="623"/>
        <v>12557.169999999998</v>
      </c>
      <c r="G585" s="13">
        <f t="shared" si="623"/>
        <v>12557.169999999998</v>
      </c>
      <c r="H585" s="13">
        <f t="shared" si="623"/>
        <v>0</v>
      </c>
    </row>
    <row r="586" spans="1:10" x14ac:dyDescent="0.25">
      <c r="A586" s="10" t="s">
        <v>93</v>
      </c>
      <c r="B586" s="2" t="s">
        <v>99</v>
      </c>
      <c r="C586" s="7">
        <v>0</v>
      </c>
      <c r="D586" s="7">
        <v>8937.9699999999993</v>
      </c>
      <c r="E586" s="7">
        <f>+C586+D586</f>
        <v>8937.9699999999993</v>
      </c>
      <c r="F586" s="7">
        <v>8937.9699999999993</v>
      </c>
      <c r="G586" s="7">
        <f t="shared" ref="G586:G589" si="624">+F586</f>
        <v>8937.9699999999993</v>
      </c>
      <c r="H586" s="7">
        <f t="shared" ref="H586:H589" si="625">+E586-F586</f>
        <v>0</v>
      </c>
    </row>
    <row r="587" spans="1:10" x14ac:dyDescent="0.25">
      <c r="A587" s="10" t="s">
        <v>94</v>
      </c>
      <c r="B587" s="2" t="s">
        <v>100</v>
      </c>
      <c r="C587" s="7">
        <v>0</v>
      </c>
      <c r="D587" s="7">
        <v>3619.2</v>
      </c>
      <c r="E587" s="7">
        <f t="shared" ref="E587:E589" si="626">+C587+D587</f>
        <v>3619.2</v>
      </c>
      <c r="F587" s="7">
        <v>3619.2</v>
      </c>
      <c r="G587" s="7">
        <f t="shared" si="624"/>
        <v>3619.2</v>
      </c>
      <c r="H587" s="7">
        <f t="shared" si="625"/>
        <v>0</v>
      </c>
    </row>
    <row r="588" spans="1:10" x14ac:dyDescent="0.25">
      <c r="A588" s="10" t="s">
        <v>95</v>
      </c>
      <c r="B588" s="2" t="s">
        <v>101</v>
      </c>
      <c r="C588" s="7">
        <v>0</v>
      </c>
      <c r="D588" s="7">
        <v>0</v>
      </c>
      <c r="E588" s="7">
        <f t="shared" si="626"/>
        <v>0</v>
      </c>
      <c r="F588" s="7">
        <v>0</v>
      </c>
      <c r="G588" s="7">
        <f t="shared" si="624"/>
        <v>0</v>
      </c>
      <c r="H588" s="7">
        <f t="shared" si="625"/>
        <v>0</v>
      </c>
    </row>
    <row r="589" spans="1:10" x14ac:dyDescent="0.25">
      <c r="A589" s="10" t="s">
        <v>96</v>
      </c>
      <c r="B589" s="31" t="s">
        <v>102</v>
      </c>
      <c r="C589" s="7">
        <v>0</v>
      </c>
      <c r="D589" s="7">
        <v>0</v>
      </c>
      <c r="E589" s="7">
        <f t="shared" si="626"/>
        <v>0</v>
      </c>
      <c r="F589" s="7">
        <v>0</v>
      </c>
      <c r="G589" s="7">
        <f t="shared" si="624"/>
        <v>0</v>
      </c>
      <c r="H589" s="7">
        <f t="shared" si="625"/>
        <v>0</v>
      </c>
    </row>
    <row r="590" spans="1:10" s="3" customFormat="1" x14ac:dyDescent="0.25">
      <c r="A590" s="1">
        <v>2.7</v>
      </c>
      <c r="B590" s="3" t="s">
        <v>43</v>
      </c>
      <c r="C590" s="13">
        <f>+C592+C591</f>
        <v>0</v>
      </c>
      <c r="D590" s="13">
        <f t="shared" ref="D590:H590" si="627">+D592+D591</f>
        <v>1501917.39</v>
      </c>
      <c r="E590" s="13">
        <f t="shared" si="627"/>
        <v>1501917.39</v>
      </c>
      <c r="F590" s="13">
        <f t="shared" si="627"/>
        <v>1395499.83</v>
      </c>
      <c r="G590" s="13">
        <f t="shared" si="627"/>
        <v>1395499.83</v>
      </c>
      <c r="H590" s="13">
        <f t="shared" si="627"/>
        <v>106417.55999999982</v>
      </c>
    </row>
    <row r="591" spans="1:10" x14ac:dyDescent="0.25">
      <c r="A591" s="10" t="s">
        <v>118</v>
      </c>
      <c r="B591" s="2" t="s">
        <v>402</v>
      </c>
      <c r="C591" s="7">
        <v>0</v>
      </c>
      <c r="D591" s="7">
        <v>1501917.39</v>
      </c>
      <c r="E591" s="7">
        <f t="shared" ref="E591" si="628">+C591+D591</f>
        <v>1501917.39</v>
      </c>
      <c r="F591" s="7">
        <v>1395499.83</v>
      </c>
      <c r="G591" s="7">
        <f t="shared" ref="G591" si="629">+F591</f>
        <v>1395499.83</v>
      </c>
      <c r="H591" s="7">
        <f t="shared" ref="H591" si="630">+E591-F591</f>
        <v>106417.55999999982</v>
      </c>
    </row>
    <row r="592" spans="1:10" x14ac:dyDescent="0.25">
      <c r="A592" s="10" t="s">
        <v>119</v>
      </c>
      <c r="B592" s="2" t="s">
        <v>122</v>
      </c>
      <c r="C592" s="7">
        <v>0</v>
      </c>
      <c r="D592" s="7">
        <v>0</v>
      </c>
      <c r="E592" s="7">
        <f t="shared" ref="E592" si="631">+C592+D592</f>
        <v>0</v>
      </c>
      <c r="F592" s="7">
        <v>0</v>
      </c>
      <c r="G592" s="7">
        <f t="shared" ref="G592:G595" si="632">+F592</f>
        <v>0</v>
      </c>
      <c r="H592" s="7">
        <f t="shared" ref="H592" si="633">+E592-F592</f>
        <v>0</v>
      </c>
    </row>
    <row r="593" spans="1:8" s="3" customFormat="1" x14ac:dyDescent="0.25">
      <c r="A593" s="1">
        <v>2.8</v>
      </c>
      <c r="B593" s="3" t="s">
        <v>20</v>
      </c>
      <c r="C593" s="13">
        <f>+C594+C595</f>
        <v>0</v>
      </c>
      <c r="D593" s="13">
        <f t="shared" ref="D593:H593" si="634">+D594+D595</f>
        <v>1393397.8</v>
      </c>
      <c r="E593" s="13">
        <f t="shared" si="634"/>
        <v>1393397.8</v>
      </c>
      <c r="F593" s="13">
        <f t="shared" si="634"/>
        <v>1393397.8</v>
      </c>
      <c r="G593" s="13">
        <f t="shared" si="634"/>
        <v>1393397.8</v>
      </c>
      <c r="H593" s="13">
        <f t="shared" si="634"/>
        <v>0</v>
      </c>
    </row>
    <row r="594" spans="1:8" x14ac:dyDescent="0.25">
      <c r="A594" s="10" t="s">
        <v>124</v>
      </c>
      <c r="B594" s="2" t="s">
        <v>126</v>
      </c>
      <c r="C594" s="7">
        <v>0</v>
      </c>
      <c r="D594" s="7">
        <v>0</v>
      </c>
      <c r="E594" s="7">
        <f t="shared" ref="E594:E595" si="635">+C594+D594</f>
        <v>0</v>
      </c>
      <c r="F594" s="7">
        <v>0</v>
      </c>
      <c r="G594" s="7">
        <f t="shared" si="632"/>
        <v>0</v>
      </c>
      <c r="H594" s="7">
        <f t="shared" ref="H594:H595" si="636">+E594-F594</f>
        <v>0</v>
      </c>
    </row>
    <row r="595" spans="1:8" x14ac:dyDescent="0.25">
      <c r="A595" s="10" t="s">
        <v>125</v>
      </c>
      <c r="B595" s="2" t="s">
        <v>127</v>
      </c>
      <c r="C595" s="7">
        <v>0</v>
      </c>
      <c r="D595" s="7">
        <v>1393397.8</v>
      </c>
      <c r="E595" s="7">
        <f t="shared" si="635"/>
        <v>1393397.8</v>
      </c>
      <c r="F595" s="7">
        <v>1393397.8</v>
      </c>
      <c r="G595" s="7">
        <f t="shared" si="632"/>
        <v>1393397.8</v>
      </c>
      <c r="H595" s="7">
        <f t="shared" si="636"/>
        <v>0</v>
      </c>
    </row>
    <row r="596" spans="1:8" s="3" customFormat="1" x14ac:dyDescent="0.25">
      <c r="A596" s="5">
        <v>3</v>
      </c>
      <c r="B596" s="4" t="s">
        <v>21</v>
      </c>
      <c r="C596" s="6">
        <f>+C597+C602</f>
        <v>0</v>
      </c>
      <c r="D596" s="6">
        <f t="shared" ref="D596:H596" si="637">+D597+D602</f>
        <v>3472298.5</v>
      </c>
      <c r="E596" s="6">
        <f t="shared" si="637"/>
        <v>3472298.5</v>
      </c>
      <c r="F596" s="6">
        <f t="shared" si="637"/>
        <v>3472298.5</v>
      </c>
      <c r="G596" s="6">
        <f t="shared" si="637"/>
        <v>3472298.5</v>
      </c>
      <c r="H596" s="6">
        <f t="shared" si="637"/>
        <v>0</v>
      </c>
    </row>
    <row r="597" spans="1:8" s="3" customFormat="1" x14ac:dyDescent="0.25">
      <c r="A597" s="1">
        <v>3.3</v>
      </c>
      <c r="B597" s="3" t="s">
        <v>45</v>
      </c>
      <c r="C597" s="13">
        <f>+C598+C599+C600+C601</f>
        <v>0</v>
      </c>
      <c r="D597" s="13">
        <f t="shared" ref="D597:H597" si="638">+D598+D599+D600+D601</f>
        <v>3472298.5</v>
      </c>
      <c r="E597" s="13">
        <f t="shared" si="638"/>
        <v>3472298.5</v>
      </c>
      <c r="F597" s="13">
        <f t="shared" si="638"/>
        <v>3472298.5</v>
      </c>
      <c r="G597" s="13">
        <f t="shared" si="638"/>
        <v>3472298.5</v>
      </c>
      <c r="H597" s="13">
        <f t="shared" si="638"/>
        <v>0</v>
      </c>
    </row>
    <row r="598" spans="1:8" x14ac:dyDescent="0.25">
      <c r="A598" s="10" t="s">
        <v>155</v>
      </c>
      <c r="B598" s="2" t="s">
        <v>162</v>
      </c>
      <c r="C598" s="7">
        <v>0</v>
      </c>
      <c r="D598" s="7">
        <v>1472750</v>
      </c>
      <c r="E598" s="7">
        <f t="shared" ref="E598:E601" si="639">+C598+D598</f>
        <v>1472750</v>
      </c>
      <c r="F598" s="7">
        <v>1472750</v>
      </c>
      <c r="G598" s="7">
        <f t="shared" ref="G598:G601" si="640">+F598</f>
        <v>1472750</v>
      </c>
      <c r="H598" s="7">
        <f t="shared" ref="H598:H601" si="641">+E598-F598</f>
        <v>0</v>
      </c>
    </row>
    <row r="599" spans="1:8" x14ac:dyDescent="0.25">
      <c r="A599" s="10" t="s">
        <v>156</v>
      </c>
      <c r="B599" s="2" t="s">
        <v>163</v>
      </c>
      <c r="C599" s="7">
        <v>0</v>
      </c>
      <c r="D599" s="7">
        <v>489757.8</v>
      </c>
      <c r="E599" s="7">
        <f t="shared" si="639"/>
        <v>489757.8</v>
      </c>
      <c r="F599" s="7">
        <v>489757.8</v>
      </c>
      <c r="G599" s="7">
        <f t="shared" si="640"/>
        <v>489757.8</v>
      </c>
      <c r="H599" s="7">
        <f t="shared" si="641"/>
        <v>0</v>
      </c>
    </row>
    <row r="600" spans="1:8" x14ac:dyDescent="0.25">
      <c r="A600" s="10" t="s">
        <v>157</v>
      </c>
      <c r="B600" s="2" t="s">
        <v>164</v>
      </c>
      <c r="C600" s="7">
        <v>0</v>
      </c>
      <c r="D600" s="7">
        <v>0</v>
      </c>
      <c r="E600" s="7">
        <f t="shared" si="639"/>
        <v>0</v>
      </c>
      <c r="F600" s="7">
        <v>0</v>
      </c>
      <c r="G600" s="7">
        <f t="shared" si="640"/>
        <v>0</v>
      </c>
      <c r="H600" s="7">
        <f t="shared" si="641"/>
        <v>0</v>
      </c>
    </row>
    <row r="601" spans="1:8" x14ac:dyDescent="0.25">
      <c r="A601" s="10" t="s">
        <v>158</v>
      </c>
      <c r="B601" s="2" t="s">
        <v>165</v>
      </c>
      <c r="C601" s="7">
        <v>0</v>
      </c>
      <c r="D601" s="7">
        <v>1509790.7</v>
      </c>
      <c r="E601" s="7">
        <f t="shared" si="639"/>
        <v>1509790.7</v>
      </c>
      <c r="F601" s="7">
        <v>1509790.7</v>
      </c>
      <c r="G601" s="7">
        <f t="shared" si="640"/>
        <v>1509790.7</v>
      </c>
      <c r="H601" s="7">
        <f t="shared" si="641"/>
        <v>0</v>
      </c>
    </row>
    <row r="602" spans="1:8" s="3" customFormat="1" x14ac:dyDescent="0.25">
      <c r="A602" s="1" t="s">
        <v>370</v>
      </c>
      <c r="B602" s="32" t="s">
        <v>46</v>
      </c>
      <c r="C602" s="13">
        <f>+C603</f>
        <v>0</v>
      </c>
      <c r="D602" s="13">
        <f t="shared" ref="D602:H602" si="642">+D603</f>
        <v>0</v>
      </c>
      <c r="E602" s="13">
        <f t="shared" si="642"/>
        <v>0</v>
      </c>
      <c r="F602" s="13">
        <f t="shared" si="642"/>
        <v>0</v>
      </c>
      <c r="G602" s="13">
        <f t="shared" si="642"/>
        <v>0</v>
      </c>
      <c r="H602" s="13">
        <f t="shared" si="642"/>
        <v>0</v>
      </c>
    </row>
    <row r="603" spans="1:8" x14ac:dyDescent="0.25">
      <c r="A603" s="10" t="s">
        <v>166</v>
      </c>
      <c r="B603" s="31" t="s">
        <v>168</v>
      </c>
      <c r="C603" s="7">
        <v>0</v>
      </c>
      <c r="D603" s="7">
        <v>0</v>
      </c>
      <c r="E603" s="7">
        <f t="shared" ref="E603" si="643">+C603+D603</f>
        <v>0</v>
      </c>
      <c r="F603" s="7">
        <v>0</v>
      </c>
      <c r="G603" s="7">
        <f t="shared" ref="G603" si="644">+F603</f>
        <v>0</v>
      </c>
      <c r="H603" s="7">
        <f t="shared" ref="H603" si="645">+E603-F603</f>
        <v>0</v>
      </c>
    </row>
    <row r="604" spans="1:8" s="3" customFormat="1" x14ac:dyDescent="0.25">
      <c r="A604" s="5">
        <v>5</v>
      </c>
      <c r="B604" s="4" t="s">
        <v>30</v>
      </c>
      <c r="C604" s="6">
        <f>+C605+C607+C609</f>
        <v>0</v>
      </c>
      <c r="D604" s="6">
        <f t="shared" ref="D604:H604" si="646">+D605+D607+D609</f>
        <v>3762828.2</v>
      </c>
      <c r="E604" s="6">
        <f t="shared" si="646"/>
        <v>3762828.2</v>
      </c>
      <c r="F604" s="6">
        <f t="shared" si="646"/>
        <v>3762828.2</v>
      </c>
      <c r="G604" s="6">
        <f t="shared" si="646"/>
        <v>3762828.2</v>
      </c>
      <c r="H604" s="6">
        <f t="shared" si="646"/>
        <v>0</v>
      </c>
    </row>
    <row r="605" spans="1:8" s="3" customFormat="1" ht="18.75" customHeight="1" x14ac:dyDescent="0.25">
      <c r="A605" s="1">
        <v>5.2</v>
      </c>
      <c r="B605" s="3" t="s">
        <v>52</v>
      </c>
      <c r="C605" s="13">
        <f>+C606</f>
        <v>0</v>
      </c>
      <c r="D605" s="13">
        <f t="shared" ref="D605:H605" si="647">+D606</f>
        <v>0</v>
      </c>
      <c r="E605" s="13">
        <f t="shared" si="647"/>
        <v>0</v>
      </c>
      <c r="F605" s="13">
        <f t="shared" si="647"/>
        <v>0</v>
      </c>
      <c r="G605" s="13">
        <f t="shared" si="647"/>
        <v>0</v>
      </c>
      <c r="H605" s="13">
        <f t="shared" si="647"/>
        <v>0</v>
      </c>
    </row>
    <row r="606" spans="1:8" x14ac:dyDescent="0.25">
      <c r="A606" s="10" t="s">
        <v>234</v>
      </c>
      <c r="B606" s="2" t="s">
        <v>237</v>
      </c>
      <c r="C606" s="7">
        <v>0</v>
      </c>
      <c r="D606" s="7">
        <v>0</v>
      </c>
      <c r="E606" s="7">
        <f t="shared" ref="E606" si="648">+C606+D606</f>
        <v>0</v>
      </c>
      <c r="F606" s="7">
        <v>0</v>
      </c>
      <c r="G606" s="7">
        <f t="shared" ref="G606" si="649">+F606</f>
        <v>0</v>
      </c>
      <c r="H606" s="7">
        <f t="shared" ref="H606" si="650">+E606-F606</f>
        <v>0</v>
      </c>
    </row>
    <row r="607" spans="1:8" s="3" customFormat="1" x14ac:dyDescent="0.25">
      <c r="A607" s="1">
        <v>5.4</v>
      </c>
      <c r="B607" s="3" t="s">
        <v>32</v>
      </c>
      <c r="C607" s="13">
        <f>+C608</f>
        <v>0</v>
      </c>
      <c r="D607" s="13">
        <f t="shared" ref="D607:H607" si="651">+D608</f>
        <v>3144602.72</v>
      </c>
      <c r="E607" s="13">
        <f t="shared" si="651"/>
        <v>3144602.72</v>
      </c>
      <c r="F607" s="13">
        <f t="shared" si="651"/>
        <v>3144602.72</v>
      </c>
      <c r="G607" s="13">
        <f t="shared" si="651"/>
        <v>3144602.72</v>
      </c>
      <c r="H607" s="13">
        <f t="shared" si="651"/>
        <v>0</v>
      </c>
    </row>
    <row r="608" spans="1:8" x14ac:dyDescent="0.25">
      <c r="A608" s="10" t="s">
        <v>239</v>
      </c>
      <c r="B608" s="2" t="s">
        <v>240</v>
      </c>
      <c r="C608" s="7">
        <v>0</v>
      </c>
      <c r="D608" s="7">
        <v>3144602.72</v>
      </c>
      <c r="E608" s="7">
        <f t="shared" ref="E608" si="652">+C608+D608</f>
        <v>3144602.72</v>
      </c>
      <c r="F608" s="7">
        <v>3144602.72</v>
      </c>
      <c r="G608" s="7">
        <f t="shared" ref="G608" si="653">+F608</f>
        <v>3144602.72</v>
      </c>
      <c r="H608" s="7">
        <f t="shared" ref="H608" si="654">+E608-F608</f>
        <v>0</v>
      </c>
    </row>
    <row r="609" spans="1:10" s="3" customFormat="1" x14ac:dyDescent="0.25">
      <c r="A609" s="1">
        <v>5.6</v>
      </c>
      <c r="B609" s="3" t="s">
        <v>33</v>
      </c>
      <c r="C609" s="13">
        <f>+C610</f>
        <v>0</v>
      </c>
      <c r="D609" s="13">
        <f t="shared" ref="D609:H609" si="655">+D610</f>
        <v>618225.48</v>
      </c>
      <c r="E609" s="13">
        <f t="shared" si="655"/>
        <v>618225.48</v>
      </c>
      <c r="F609" s="13">
        <f t="shared" si="655"/>
        <v>618225.48</v>
      </c>
      <c r="G609" s="13">
        <f t="shared" si="655"/>
        <v>618225.48</v>
      </c>
      <c r="H609" s="13">
        <f t="shared" si="655"/>
        <v>0</v>
      </c>
    </row>
    <row r="610" spans="1:10" x14ac:dyDescent="0.25">
      <c r="A610" s="10" t="s">
        <v>241</v>
      </c>
      <c r="B610" s="2" t="s">
        <v>244</v>
      </c>
      <c r="C610" s="7">
        <v>0</v>
      </c>
      <c r="D610" s="7">
        <v>618225.48</v>
      </c>
      <c r="E610" s="7">
        <f t="shared" ref="E610" si="656">+C610+D610</f>
        <v>618225.48</v>
      </c>
      <c r="F610" s="7">
        <v>618225.48</v>
      </c>
      <c r="G610" s="7">
        <f t="shared" ref="G610" si="657">+F610</f>
        <v>618225.48</v>
      </c>
      <c r="H610" s="7">
        <f t="shared" ref="H610" si="658">+E610-F610</f>
        <v>0</v>
      </c>
    </row>
    <row r="611" spans="1:10" x14ac:dyDescent="0.25">
      <c r="A611" s="5">
        <v>6</v>
      </c>
      <c r="B611" s="4" t="s">
        <v>35</v>
      </c>
      <c r="C611" s="6">
        <f>+C612</f>
        <v>0</v>
      </c>
      <c r="D611" s="6">
        <f t="shared" ref="D611:H612" si="659">+D612</f>
        <v>0</v>
      </c>
      <c r="E611" s="6">
        <f t="shared" si="659"/>
        <v>0</v>
      </c>
      <c r="F611" s="6">
        <f t="shared" si="659"/>
        <v>0</v>
      </c>
      <c r="G611" s="6">
        <f t="shared" si="659"/>
        <v>0</v>
      </c>
      <c r="H611" s="6">
        <f t="shared" si="659"/>
        <v>0</v>
      </c>
    </row>
    <row r="612" spans="1:10" s="3" customFormat="1" x14ac:dyDescent="0.25">
      <c r="A612" s="1">
        <v>6.1</v>
      </c>
      <c r="B612" s="3" t="s">
        <v>53</v>
      </c>
      <c r="C612" s="13">
        <f>+C613</f>
        <v>0</v>
      </c>
      <c r="D612" s="13">
        <f t="shared" si="659"/>
        <v>0</v>
      </c>
      <c r="E612" s="13">
        <f t="shared" si="659"/>
        <v>0</v>
      </c>
      <c r="F612" s="13">
        <f t="shared" si="659"/>
        <v>0</v>
      </c>
      <c r="G612" s="13">
        <f t="shared" si="659"/>
        <v>0</v>
      </c>
      <c r="H612" s="13">
        <f t="shared" si="659"/>
        <v>0</v>
      </c>
    </row>
    <row r="613" spans="1:10" x14ac:dyDescent="0.25">
      <c r="A613" s="10" t="s">
        <v>249</v>
      </c>
      <c r="B613" s="2" t="s">
        <v>254</v>
      </c>
      <c r="C613" s="7">
        <v>0</v>
      </c>
      <c r="D613" s="7">
        <v>0</v>
      </c>
      <c r="E613" s="7">
        <f t="shared" ref="E613" si="660">+C613+D613</f>
        <v>0</v>
      </c>
      <c r="F613" s="7">
        <v>0</v>
      </c>
      <c r="G613" s="7">
        <f>+F613</f>
        <v>0</v>
      </c>
      <c r="H613" s="7">
        <f t="shared" ref="H613" si="661">+E613-F613</f>
        <v>0</v>
      </c>
    </row>
    <row r="614" spans="1:10" x14ac:dyDescent="0.25">
      <c r="A614" s="1"/>
      <c r="B614" s="3"/>
      <c r="C614" s="20"/>
      <c r="D614" s="21"/>
      <c r="E614" s="21"/>
      <c r="F614" s="21"/>
      <c r="G614" s="21"/>
      <c r="H614" s="21"/>
    </row>
    <row r="615" spans="1:10" s="17" customFormat="1" ht="15.75" x14ac:dyDescent="0.25">
      <c r="A615" s="14" t="s">
        <v>423</v>
      </c>
      <c r="B615" s="15"/>
      <c r="C615" s="16">
        <f>+C619+C616</f>
        <v>0</v>
      </c>
      <c r="D615" s="16">
        <f t="shared" ref="D615:F615" si="662">+D619+D616</f>
        <v>3201731.86</v>
      </c>
      <c r="E615" s="16">
        <f t="shared" si="662"/>
        <v>3201731.86</v>
      </c>
      <c r="F615" s="16">
        <f t="shared" si="662"/>
        <v>3198575.75</v>
      </c>
      <c r="G615" s="16">
        <f>+G619+G616</f>
        <v>0</v>
      </c>
      <c r="H615" s="16">
        <f>+H619+H616</f>
        <v>3156.11</v>
      </c>
      <c r="J615" s="18"/>
    </row>
    <row r="616" spans="1:10" s="3" customFormat="1" x14ac:dyDescent="0.25">
      <c r="A616" s="5">
        <v>3</v>
      </c>
      <c r="B616" s="4" t="s">
        <v>21</v>
      </c>
      <c r="C616" s="6">
        <f>+C617</f>
        <v>0</v>
      </c>
      <c r="D616" s="6">
        <f t="shared" ref="D616:H617" si="663">+D617</f>
        <v>3156.11</v>
      </c>
      <c r="E616" s="6">
        <f t="shared" si="663"/>
        <v>3156.11</v>
      </c>
      <c r="F616" s="6">
        <f t="shared" si="663"/>
        <v>0</v>
      </c>
      <c r="G616" s="6">
        <f t="shared" si="663"/>
        <v>0</v>
      </c>
      <c r="H616" s="6">
        <f t="shared" si="663"/>
        <v>3156.11</v>
      </c>
    </row>
    <row r="617" spans="1:10" s="3" customFormat="1" x14ac:dyDescent="0.25">
      <c r="A617" s="1">
        <v>3.5</v>
      </c>
      <c r="B617" s="3" t="s">
        <v>47</v>
      </c>
      <c r="C617" s="13">
        <f>+C618</f>
        <v>0</v>
      </c>
      <c r="D617" s="13">
        <f t="shared" si="663"/>
        <v>3156.11</v>
      </c>
      <c r="E617" s="13">
        <f t="shared" si="663"/>
        <v>3156.11</v>
      </c>
      <c r="F617" s="13">
        <f t="shared" si="663"/>
        <v>0</v>
      </c>
      <c r="G617" s="13">
        <f t="shared" si="663"/>
        <v>0</v>
      </c>
      <c r="H617" s="13">
        <f t="shared" si="663"/>
        <v>3156.11</v>
      </c>
      <c r="I617" s="29"/>
    </row>
    <row r="618" spans="1:10" x14ac:dyDescent="0.25">
      <c r="A618" s="10" t="s">
        <v>170</v>
      </c>
      <c r="B618" s="2" t="s">
        <v>175</v>
      </c>
      <c r="C618" s="7">
        <v>0</v>
      </c>
      <c r="D618" s="7">
        <v>3156.11</v>
      </c>
      <c r="E618" s="7">
        <f t="shared" ref="E618" si="664">+C618+D618</f>
        <v>3156.11</v>
      </c>
      <c r="F618" s="7">
        <v>0</v>
      </c>
      <c r="G618" s="7">
        <v>0</v>
      </c>
      <c r="H618" s="7">
        <f t="shared" ref="H618" si="665">+E618-F618</f>
        <v>3156.11</v>
      </c>
      <c r="I618" s="29"/>
    </row>
    <row r="619" spans="1:10" x14ac:dyDescent="0.25">
      <c r="A619" s="5">
        <v>6</v>
      </c>
      <c r="B619" s="4" t="s">
        <v>35</v>
      </c>
      <c r="C619" s="6">
        <f t="shared" ref="C619:H619" si="666">+C620</f>
        <v>0</v>
      </c>
      <c r="D619" s="6">
        <f t="shared" si="666"/>
        <v>3198575.75</v>
      </c>
      <c r="E619" s="6">
        <f t="shared" si="666"/>
        <v>3198575.75</v>
      </c>
      <c r="F619" s="6">
        <f t="shared" si="666"/>
        <v>3198575.75</v>
      </c>
      <c r="G619" s="6">
        <f t="shared" si="666"/>
        <v>0</v>
      </c>
      <c r="H619" s="6">
        <f t="shared" si="666"/>
        <v>0</v>
      </c>
    </row>
    <row r="620" spans="1:10" s="3" customFormat="1" x14ac:dyDescent="0.25">
      <c r="A620" s="1">
        <v>6.1</v>
      </c>
      <c r="B620" s="3" t="s">
        <v>53</v>
      </c>
      <c r="C620" s="13">
        <f>+C622+C621+C623</f>
        <v>0</v>
      </c>
      <c r="D620" s="13">
        <f t="shared" ref="D620:H620" si="667">+D622+D621+D623</f>
        <v>3198575.75</v>
      </c>
      <c r="E620" s="13">
        <f t="shared" si="667"/>
        <v>3198575.75</v>
      </c>
      <c r="F620" s="13">
        <f t="shared" si="667"/>
        <v>3198575.75</v>
      </c>
      <c r="G620" s="13">
        <f t="shared" si="667"/>
        <v>0</v>
      </c>
      <c r="H620" s="13">
        <f t="shared" si="667"/>
        <v>0</v>
      </c>
    </row>
    <row r="621" spans="1:10" s="3" customFormat="1" x14ac:dyDescent="0.25">
      <c r="A621" s="10" t="s">
        <v>250</v>
      </c>
      <c r="B621" s="2" t="s">
        <v>276</v>
      </c>
      <c r="C621" s="7">
        <v>0</v>
      </c>
      <c r="D621" s="7">
        <v>0</v>
      </c>
      <c r="E621" s="7">
        <f>+C621+D621</f>
        <v>0</v>
      </c>
      <c r="F621" s="7">
        <v>0</v>
      </c>
      <c r="G621" s="7">
        <f>+F621</f>
        <v>0</v>
      </c>
      <c r="H621" s="7">
        <f>+E621-F621</f>
        <v>0</v>
      </c>
    </row>
    <row r="622" spans="1:10" x14ac:dyDescent="0.25">
      <c r="A622" s="10" t="s">
        <v>251</v>
      </c>
      <c r="B622" s="2" t="s">
        <v>255</v>
      </c>
      <c r="C622" s="7">
        <v>0</v>
      </c>
      <c r="D622" s="7">
        <v>907999.1</v>
      </c>
      <c r="E622" s="7">
        <f>+C622+D622</f>
        <v>907999.1</v>
      </c>
      <c r="F622" s="7">
        <v>907999.1</v>
      </c>
      <c r="G622" s="7">
        <v>0</v>
      </c>
      <c r="H622" s="7">
        <f>+E622-F622</f>
        <v>0</v>
      </c>
    </row>
    <row r="623" spans="1:10" x14ac:dyDescent="0.25">
      <c r="A623" s="10" t="s">
        <v>252</v>
      </c>
      <c r="B623" s="2" t="s">
        <v>256</v>
      </c>
      <c r="C623" s="7">
        <v>0</v>
      </c>
      <c r="D623" s="7">
        <v>2290576.65</v>
      </c>
      <c r="E623" s="7">
        <f t="shared" ref="E623" si="668">+C623+D623</f>
        <v>2290576.65</v>
      </c>
      <c r="F623" s="7">
        <v>2290576.65</v>
      </c>
      <c r="G623" s="7">
        <v>0</v>
      </c>
      <c r="H623" s="7">
        <f t="shared" ref="H623" si="669">+E623-F623</f>
        <v>0</v>
      </c>
    </row>
    <row r="624" spans="1:10" x14ac:dyDescent="0.25">
      <c r="A624" s="1"/>
      <c r="B624" s="3"/>
      <c r="C624" s="20"/>
      <c r="D624" s="21"/>
      <c r="E624" s="21"/>
      <c r="F624" s="21"/>
      <c r="G624" s="21"/>
      <c r="H624" s="21"/>
    </row>
    <row r="625" spans="1:10" s="17" customFormat="1" ht="32.25" customHeight="1" x14ac:dyDescent="0.25">
      <c r="A625" s="37" t="s">
        <v>424</v>
      </c>
      <c r="B625" s="37"/>
      <c r="C625" s="16">
        <f>+C626</f>
        <v>0</v>
      </c>
      <c r="D625" s="16">
        <f t="shared" ref="D625:H626" si="670">+D626</f>
        <v>1625019.18</v>
      </c>
      <c r="E625" s="16">
        <f t="shared" si="670"/>
        <v>1625019.18</v>
      </c>
      <c r="F625" s="16">
        <f t="shared" si="670"/>
        <v>1601881</v>
      </c>
      <c r="G625" s="16">
        <f t="shared" si="670"/>
        <v>1601881</v>
      </c>
      <c r="H625" s="16">
        <f t="shared" si="670"/>
        <v>23138.179999999935</v>
      </c>
      <c r="J625" s="18"/>
    </row>
    <row r="626" spans="1:10" s="3" customFormat="1" x14ac:dyDescent="0.25">
      <c r="A626" s="5">
        <v>4</v>
      </c>
      <c r="B626" s="4" t="s">
        <v>49</v>
      </c>
      <c r="C626" s="6">
        <f>+C627</f>
        <v>0</v>
      </c>
      <c r="D626" s="6">
        <f t="shared" si="670"/>
        <v>1625019.18</v>
      </c>
      <c r="E626" s="6">
        <f t="shared" si="670"/>
        <v>1625019.18</v>
      </c>
      <c r="F626" s="6">
        <f t="shared" si="670"/>
        <v>1601881</v>
      </c>
      <c r="G626" s="6">
        <f t="shared" si="670"/>
        <v>1601881</v>
      </c>
      <c r="H626" s="6">
        <f t="shared" si="670"/>
        <v>23138.179999999935</v>
      </c>
    </row>
    <row r="627" spans="1:10" s="3" customFormat="1" x14ac:dyDescent="0.25">
      <c r="A627" s="1">
        <v>4.4000000000000004</v>
      </c>
      <c r="B627" s="3" t="s">
        <v>28</v>
      </c>
      <c r="C627" s="13">
        <f>+C630+C628+C629</f>
        <v>0</v>
      </c>
      <c r="D627" s="13">
        <f t="shared" ref="D627:H627" si="671">+D630+D628+D629</f>
        <v>1625019.18</v>
      </c>
      <c r="E627" s="13">
        <f t="shared" si="671"/>
        <v>1625019.18</v>
      </c>
      <c r="F627" s="13">
        <f t="shared" si="671"/>
        <v>1601881</v>
      </c>
      <c r="G627" s="13">
        <f t="shared" si="671"/>
        <v>1601881</v>
      </c>
      <c r="H627" s="13">
        <f t="shared" si="671"/>
        <v>23138.179999999935</v>
      </c>
    </row>
    <row r="628" spans="1:10" x14ac:dyDescent="0.25">
      <c r="A628" s="10" t="s">
        <v>211</v>
      </c>
      <c r="B628" s="2" t="s">
        <v>268</v>
      </c>
      <c r="C628" s="7">
        <v>0</v>
      </c>
      <c r="D628" s="7">
        <v>1625019.18</v>
      </c>
      <c r="E628" s="7">
        <f t="shared" ref="E628" si="672">+C628+D628</f>
        <v>1625019.18</v>
      </c>
      <c r="F628" s="7">
        <v>1601881</v>
      </c>
      <c r="G628" s="7">
        <f>+F628</f>
        <v>1601881</v>
      </c>
      <c r="H628" s="7">
        <f t="shared" ref="H628" si="673">+E628-F628</f>
        <v>23138.179999999935</v>
      </c>
    </row>
    <row r="629" spans="1:10" x14ac:dyDescent="0.25">
      <c r="A629" s="1"/>
      <c r="B629" s="3"/>
      <c r="C629" s="20"/>
      <c r="D629" s="21"/>
      <c r="E629" s="21"/>
      <c r="F629" s="21"/>
      <c r="G629" s="21"/>
      <c r="H629" s="21"/>
    </row>
    <row r="630" spans="1:10" s="17" customFormat="1" ht="15.75" x14ac:dyDescent="0.25">
      <c r="A630" s="14" t="s">
        <v>261</v>
      </c>
      <c r="B630" s="15"/>
      <c r="C630" s="16">
        <f>+C631</f>
        <v>0</v>
      </c>
      <c r="D630" s="16">
        <f t="shared" ref="D630:H632" si="674">+D631</f>
        <v>0</v>
      </c>
      <c r="E630" s="16">
        <f t="shared" si="674"/>
        <v>0</v>
      </c>
      <c r="F630" s="16">
        <f t="shared" si="674"/>
        <v>0</v>
      </c>
      <c r="G630" s="16">
        <f t="shared" si="674"/>
        <v>0</v>
      </c>
      <c r="H630" s="16">
        <f t="shared" si="674"/>
        <v>0</v>
      </c>
      <c r="J630" s="18"/>
    </row>
    <row r="631" spans="1:10" x14ac:dyDescent="0.25">
      <c r="A631" s="5">
        <v>6</v>
      </c>
      <c r="B631" s="4" t="s">
        <v>35</v>
      </c>
      <c r="C631" s="6">
        <f>+C632</f>
        <v>0</v>
      </c>
      <c r="D631" s="6">
        <f t="shared" si="674"/>
        <v>0</v>
      </c>
      <c r="E631" s="6">
        <f t="shared" si="674"/>
        <v>0</v>
      </c>
      <c r="F631" s="6">
        <f t="shared" si="674"/>
        <v>0</v>
      </c>
      <c r="G631" s="6">
        <f t="shared" si="674"/>
        <v>0</v>
      </c>
      <c r="H631" s="6">
        <f t="shared" si="674"/>
        <v>0</v>
      </c>
    </row>
    <row r="632" spans="1:10" s="3" customFormat="1" x14ac:dyDescent="0.25">
      <c r="A632" s="1">
        <v>6.1</v>
      </c>
      <c r="B632" s="3" t="s">
        <v>53</v>
      </c>
      <c r="C632" s="13">
        <f>+C633</f>
        <v>0</v>
      </c>
      <c r="D632" s="13">
        <f t="shared" si="674"/>
        <v>0</v>
      </c>
      <c r="E632" s="13">
        <f t="shared" si="674"/>
        <v>0</v>
      </c>
      <c r="F632" s="13">
        <f t="shared" si="674"/>
        <v>0</v>
      </c>
      <c r="G632" s="13">
        <f t="shared" si="674"/>
        <v>0</v>
      </c>
      <c r="H632" s="13">
        <f t="shared" si="674"/>
        <v>0</v>
      </c>
    </row>
    <row r="633" spans="1:10" x14ac:dyDescent="0.25">
      <c r="A633" s="10" t="s">
        <v>252</v>
      </c>
      <c r="B633" s="2" t="s">
        <v>256</v>
      </c>
      <c r="C633" s="7">
        <v>0</v>
      </c>
      <c r="D633" s="7">
        <v>0</v>
      </c>
      <c r="E633" s="7">
        <f t="shared" ref="E633" si="675">+C633+D633</f>
        <v>0</v>
      </c>
      <c r="F633" s="7">
        <v>0</v>
      </c>
      <c r="G633" s="7">
        <f>+F633</f>
        <v>0</v>
      </c>
      <c r="H633" s="7">
        <f t="shared" ref="H633" si="676">+E633-F633</f>
        <v>0</v>
      </c>
    </row>
    <row r="634" spans="1:10" x14ac:dyDescent="0.25">
      <c r="A634" s="1"/>
      <c r="B634" s="3"/>
      <c r="C634" s="20"/>
      <c r="D634" s="21"/>
      <c r="E634" s="21"/>
      <c r="F634" s="21"/>
      <c r="G634" s="21"/>
      <c r="H634" s="21"/>
    </row>
    <row r="635" spans="1:10" s="17" customFormat="1" ht="15.75" x14ac:dyDescent="0.25">
      <c r="A635" s="14" t="s">
        <v>380</v>
      </c>
      <c r="B635" s="15"/>
      <c r="C635" s="16">
        <f>+C658+C691+C649+C636+C696</f>
        <v>6000000</v>
      </c>
      <c r="D635" s="16">
        <f t="shared" ref="D635:H635" si="677">+D658+D691+D649+D636+D696</f>
        <v>6094972.2599999998</v>
      </c>
      <c r="E635" s="16">
        <f t="shared" si="677"/>
        <v>15561749.26</v>
      </c>
      <c r="F635" s="16">
        <f t="shared" si="677"/>
        <v>15071602.689999999</v>
      </c>
      <c r="G635" s="16">
        <f t="shared" si="677"/>
        <v>14785996.869999999</v>
      </c>
      <c r="H635" s="16">
        <f t="shared" si="677"/>
        <v>490146.57</v>
      </c>
      <c r="J635" s="18"/>
    </row>
    <row r="636" spans="1:10" x14ac:dyDescent="0.25">
      <c r="A636" s="5">
        <v>1</v>
      </c>
      <c r="B636" s="4" t="s">
        <v>12</v>
      </c>
      <c r="C636" s="6">
        <f>+C637+C640+C643+C647</f>
        <v>0</v>
      </c>
      <c r="D636" s="6">
        <f t="shared" ref="D636:H636" si="678">+D637+D640+D643+D647</f>
        <v>2801258.57</v>
      </c>
      <c r="E636" s="6">
        <f t="shared" si="678"/>
        <v>6268035.5700000003</v>
      </c>
      <c r="F636" s="6">
        <f t="shared" si="678"/>
        <v>5777889</v>
      </c>
      <c r="G636" s="6">
        <f t="shared" si="678"/>
        <v>5777889</v>
      </c>
      <c r="H636" s="6">
        <f t="shared" si="678"/>
        <v>490146.57</v>
      </c>
    </row>
    <row r="637" spans="1:10" s="3" customFormat="1" x14ac:dyDescent="0.25">
      <c r="A637" s="1">
        <v>1.1000000000000001</v>
      </c>
      <c r="B637" s="3" t="s">
        <v>39</v>
      </c>
      <c r="C637" s="13">
        <f>+C639+C638</f>
        <v>0</v>
      </c>
      <c r="D637" s="13">
        <f t="shared" ref="D637:H637" si="679">+D639+D638</f>
        <v>2311112</v>
      </c>
      <c r="E637" s="13">
        <f t="shared" si="679"/>
        <v>2311112</v>
      </c>
      <c r="F637" s="13">
        <f t="shared" si="679"/>
        <v>2311112</v>
      </c>
      <c r="G637" s="13">
        <f t="shared" si="679"/>
        <v>2311112</v>
      </c>
      <c r="H637" s="13">
        <f t="shared" si="679"/>
        <v>0</v>
      </c>
    </row>
    <row r="638" spans="1:10" x14ac:dyDescent="0.25">
      <c r="A638" s="10" t="s">
        <v>68</v>
      </c>
      <c r="B638" s="2" t="s">
        <v>273</v>
      </c>
      <c r="C638" s="7">
        <v>0</v>
      </c>
      <c r="D638" s="7">
        <v>2311112</v>
      </c>
      <c r="E638" s="7">
        <f>+C638+D638</f>
        <v>2311112</v>
      </c>
      <c r="F638" s="7">
        <v>2311112</v>
      </c>
      <c r="G638" s="7">
        <f>+F638</f>
        <v>2311112</v>
      </c>
      <c r="H638" s="7">
        <f>+E638-F638</f>
        <v>0</v>
      </c>
    </row>
    <row r="639" spans="1:10" x14ac:dyDescent="0.25">
      <c r="A639" s="10" t="s">
        <v>70</v>
      </c>
      <c r="B639" s="2" t="s">
        <v>71</v>
      </c>
      <c r="C639" s="7">
        <v>0</v>
      </c>
      <c r="D639" s="7">
        <f>0-C639</f>
        <v>0</v>
      </c>
      <c r="E639" s="7">
        <f>+C639+D639</f>
        <v>0</v>
      </c>
      <c r="F639" s="7">
        <v>0</v>
      </c>
      <c r="G639" s="7">
        <f>+F639</f>
        <v>0</v>
      </c>
      <c r="H639" s="7">
        <f>+E639-F639</f>
        <v>0</v>
      </c>
    </row>
    <row r="640" spans="1:10" s="3" customFormat="1" x14ac:dyDescent="0.25">
      <c r="A640" s="1">
        <v>1.2</v>
      </c>
      <c r="B640" s="3" t="s">
        <v>40</v>
      </c>
      <c r="C640" s="13">
        <f>+C642+C641</f>
        <v>0</v>
      </c>
      <c r="D640" s="13">
        <f t="shared" ref="D640:H640" si="680">+D642+D641</f>
        <v>0</v>
      </c>
      <c r="E640" s="13">
        <f t="shared" si="680"/>
        <v>0</v>
      </c>
      <c r="F640" s="13">
        <f t="shared" si="680"/>
        <v>0</v>
      </c>
      <c r="G640" s="13">
        <f t="shared" si="680"/>
        <v>0</v>
      </c>
      <c r="H640" s="13">
        <f t="shared" si="680"/>
        <v>0</v>
      </c>
    </row>
    <row r="641" spans="1:10" ht="14.25" customHeight="1" x14ac:dyDescent="0.25">
      <c r="A641" s="10" t="s">
        <v>72</v>
      </c>
      <c r="B641" s="10" t="s">
        <v>73</v>
      </c>
      <c r="C641" s="7">
        <v>0</v>
      </c>
      <c r="D641" s="7">
        <f>0-C641</f>
        <v>0</v>
      </c>
      <c r="E641" s="7">
        <f>+C641+D641</f>
        <v>0</v>
      </c>
      <c r="F641" s="7">
        <v>0</v>
      </c>
      <c r="G641" s="7">
        <f>+F641</f>
        <v>0</v>
      </c>
      <c r="H641" s="7">
        <f>+E641-F641</f>
        <v>0</v>
      </c>
    </row>
    <row r="642" spans="1:10" ht="14.25" customHeight="1" x14ac:dyDescent="0.25">
      <c r="A642" s="10" t="s">
        <v>74</v>
      </c>
      <c r="B642" s="2" t="s">
        <v>75</v>
      </c>
      <c r="C642" s="7">
        <v>0</v>
      </c>
      <c r="D642" s="7">
        <f>0-C642</f>
        <v>0</v>
      </c>
      <c r="E642" s="7">
        <f>+C642+D642</f>
        <v>0</v>
      </c>
      <c r="F642" s="7">
        <v>0</v>
      </c>
      <c r="G642" s="7">
        <f>+F642</f>
        <v>0</v>
      </c>
      <c r="H642" s="7">
        <f>+E642-F642</f>
        <v>0</v>
      </c>
    </row>
    <row r="643" spans="1:10" s="3" customFormat="1" x14ac:dyDescent="0.25">
      <c r="A643" s="1">
        <v>1.3</v>
      </c>
      <c r="B643" s="3" t="s">
        <v>13</v>
      </c>
      <c r="C643" s="13">
        <f>+C644</f>
        <v>0</v>
      </c>
      <c r="D643" s="13">
        <f t="shared" ref="D643:H643" si="681">+D644</f>
        <v>0</v>
      </c>
      <c r="E643" s="13">
        <f t="shared" si="681"/>
        <v>3466777</v>
      </c>
      <c r="F643" s="13">
        <f t="shared" si="681"/>
        <v>3466777</v>
      </c>
      <c r="G643" s="13">
        <f t="shared" si="681"/>
        <v>3466777</v>
      </c>
      <c r="H643" s="13">
        <f t="shared" si="681"/>
        <v>0</v>
      </c>
    </row>
    <row r="644" spans="1:10" x14ac:dyDescent="0.25">
      <c r="A644" s="10" t="s">
        <v>76</v>
      </c>
      <c r="B644" s="2" t="s">
        <v>77</v>
      </c>
      <c r="C644" s="7">
        <f>+C645+C646</f>
        <v>0</v>
      </c>
      <c r="D644" s="7">
        <f>0-C644</f>
        <v>0</v>
      </c>
      <c r="E644" s="7">
        <f t="shared" ref="E644:H644" si="682">+E645+E646</f>
        <v>3466777</v>
      </c>
      <c r="F644" s="7">
        <f t="shared" si="682"/>
        <v>3466777</v>
      </c>
      <c r="G644" s="7">
        <f t="shared" si="682"/>
        <v>3466777</v>
      </c>
      <c r="H644" s="7">
        <f t="shared" si="682"/>
        <v>0</v>
      </c>
    </row>
    <row r="645" spans="1:10" x14ac:dyDescent="0.25">
      <c r="A645" s="10" t="s">
        <v>80</v>
      </c>
      <c r="B645" s="2" t="s">
        <v>78</v>
      </c>
      <c r="C645" s="7">
        <v>0</v>
      </c>
      <c r="D645" s="7">
        <v>0</v>
      </c>
      <c r="E645" s="7">
        <f>+C645+D645</f>
        <v>0</v>
      </c>
      <c r="F645" s="7">
        <v>0</v>
      </c>
      <c r="G645" s="7">
        <f>+F645</f>
        <v>0</v>
      </c>
      <c r="H645" s="7">
        <f>+E645-F645</f>
        <v>0</v>
      </c>
    </row>
    <row r="646" spans="1:10" x14ac:dyDescent="0.25">
      <c r="A646" s="10" t="s">
        <v>81</v>
      </c>
      <c r="B646" s="2" t="s">
        <v>79</v>
      </c>
      <c r="C646" s="7">
        <v>0</v>
      </c>
      <c r="D646" s="7">
        <v>3466777</v>
      </c>
      <c r="E646" s="7">
        <f>+C646+D646</f>
        <v>3466777</v>
      </c>
      <c r="F646" s="7">
        <v>3466777</v>
      </c>
      <c r="G646" s="7">
        <f>+F646</f>
        <v>3466777</v>
      </c>
      <c r="H646" s="7">
        <f>+E646-F646</f>
        <v>0</v>
      </c>
    </row>
    <row r="647" spans="1:10" s="3" customFormat="1" x14ac:dyDescent="0.25">
      <c r="A647" s="1" t="s">
        <v>417</v>
      </c>
      <c r="B647" s="3" t="s">
        <v>420</v>
      </c>
      <c r="C647" s="13">
        <f>+C648</f>
        <v>0</v>
      </c>
      <c r="D647" s="13">
        <f t="shared" ref="D647:H647" si="683">+D648</f>
        <v>490146.57</v>
      </c>
      <c r="E647" s="13">
        <f t="shared" si="683"/>
        <v>490146.57</v>
      </c>
      <c r="F647" s="13">
        <f t="shared" si="683"/>
        <v>0</v>
      </c>
      <c r="G647" s="13">
        <f t="shared" si="683"/>
        <v>0</v>
      </c>
      <c r="H647" s="13">
        <f t="shared" si="683"/>
        <v>490146.57</v>
      </c>
      <c r="I647" s="21"/>
    </row>
    <row r="648" spans="1:10" x14ac:dyDescent="0.25">
      <c r="A648" s="10" t="s">
        <v>418</v>
      </c>
      <c r="B648" s="2" t="s">
        <v>419</v>
      </c>
      <c r="C648" s="7">
        <v>0</v>
      </c>
      <c r="D648" s="7">
        <v>490146.57</v>
      </c>
      <c r="E648" s="7">
        <f>+C648+D648</f>
        <v>490146.57</v>
      </c>
      <c r="F648" s="7">
        <v>0</v>
      </c>
      <c r="G648" s="7">
        <f>+F648</f>
        <v>0</v>
      </c>
      <c r="H648" s="7">
        <f>+E648-F648</f>
        <v>490146.57</v>
      </c>
      <c r="I648" s="21"/>
    </row>
    <row r="649" spans="1:10" s="3" customFormat="1" x14ac:dyDescent="0.25">
      <c r="A649" s="5" t="s">
        <v>371</v>
      </c>
      <c r="B649" s="22" t="s">
        <v>17</v>
      </c>
      <c r="C649" s="6">
        <f>+C650+C654+C656</f>
        <v>450000</v>
      </c>
      <c r="D649" s="6">
        <f t="shared" ref="D649:H649" si="684">+D650+D654+D656</f>
        <v>-323008.70999999996</v>
      </c>
      <c r="E649" s="6">
        <f t="shared" si="684"/>
        <v>126991.29000000001</v>
      </c>
      <c r="F649" s="6">
        <f t="shared" si="684"/>
        <v>126991.29000000001</v>
      </c>
      <c r="G649" s="6">
        <f t="shared" si="684"/>
        <v>126991.29000000001</v>
      </c>
      <c r="H649" s="6">
        <f t="shared" si="684"/>
        <v>0</v>
      </c>
    </row>
    <row r="650" spans="1:10" s="3" customFormat="1" x14ac:dyDescent="0.25">
      <c r="A650" s="1" t="s">
        <v>358</v>
      </c>
      <c r="B650" s="32" t="s">
        <v>64</v>
      </c>
      <c r="C650" s="13">
        <f>+C651+C652+C653</f>
        <v>150000</v>
      </c>
      <c r="D650" s="13">
        <f t="shared" ref="D650:H650" si="685">+D651+D652+D653</f>
        <v>-55958.71</v>
      </c>
      <c r="E650" s="13">
        <f t="shared" si="685"/>
        <v>94041.290000000008</v>
      </c>
      <c r="F650" s="13">
        <f t="shared" si="685"/>
        <v>94041.290000000008</v>
      </c>
      <c r="G650" s="13">
        <f t="shared" si="685"/>
        <v>94041.290000000008</v>
      </c>
      <c r="H650" s="13">
        <f t="shared" si="685"/>
        <v>0</v>
      </c>
    </row>
    <row r="651" spans="1:10" x14ac:dyDescent="0.25">
      <c r="A651" s="10" t="s">
        <v>93</v>
      </c>
      <c r="B651" s="31" t="s">
        <v>99</v>
      </c>
      <c r="C651" s="7">
        <v>100000</v>
      </c>
      <c r="D651" s="7">
        <f>31016.83-C651</f>
        <v>-68983.17</v>
      </c>
      <c r="E651" s="7">
        <f t="shared" ref="E651" si="686">+C651+D651</f>
        <v>31016.83</v>
      </c>
      <c r="F651" s="7">
        <v>31016.83</v>
      </c>
      <c r="G651" s="7">
        <f t="shared" ref="G651" si="687">+F651</f>
        <v>31016.83</v>
      </c>
      <c r="H651" s="7">
        <f t="shared" ref="H651" si="688">+E651-F651</f>
        <v>0</v>
      </c>
    </row>
    <row r="652" spans="1:10" x14ac:dyDescent="0.25">
      <c r="A652" s="10" t="s">
        <v>94</v>
      </c>
      <c r="B652" s="31" t="s">
        <v>100</v>
      </c>
      <c r="C652" s="7">
        <v>50000</v>
      </c>
      <c r="D652" s="7">
        <f>0-C652</f>
        <v>-50000</v>
      </c>
      <c r="E652" s="7">
        <f t="shared" ref="E652" si="689">+C652+D652</f>
        <v>0</v>
      </c>
      <c r="F652" s="7">
        <v>0</v>
      </c>
      <c r="G652" s="7">
        <f t="shared" ref="G652" si="690">+F652</f>
        <v>0</v>
      </c>
      <c r="H652" s="7">
        <f t="shared" ref="H652" si="691">+E652-F652</f>
        <v>0</v>
      </c>
    </row>
    <row r="653" spans="1:10" x14ac:dyDescent="0.25">
      <c r="A653" s="10" t="s">
        <v>95</v>
      </c>
      <c r="B653" s="31" t="s">
        <v>101</v>
      </c>
      <c r="C653" s="7">
        <v>0</v>
      </c>
      <c r="D653" s="7">
        <v>63024.46</v>
      </c>
      <c r="E653" s="7">
        <f t="shared" ref="E653" si="692">+C653+D653</f>
        <v>63024.46</v>
      </c>
      <c r="F653" s="7">
        <v>63024.46</v>
      </c>
      <c r="G653" s="7">
        <f t="shared" ref="G653" si="693">+F653</f>
        <v>63024.46</v>
      </c>
      <c r="H653" s="7">
        <f t="shared" ref="H653" si="694">+E653-F653</f>
        <v>0</v>
      </c>
    </row>
    <row r="654" spans="1:10" s="15" customFormat="1" ht="15.75" x14ac:dyDescent="0.25">
      <c r="A654" s="14" t="s">
        <v>372</v>
      </c>
      <c r="B654" s="32" t="s">
        <v>18</v>
      </c>
      <c r="C654" s="13">
        <f>+C655</f>
        <v>50000</v>
      </c>
      <c r="D654" s="13">
        <f t="shared" ref="D654:H654" si="695">+D655</f>
        <v>-17050</v>
      </c>
      <c r="E654" s="13">
        <f t="shared" si="695"/>
        <v>32950</v>
      </c>
      <c r="F654" s="13">
        <f t="shared" si="695"/>
        <v>32950</v>
      </c>
      <c r="G654" s="13">
        <f t="shared" si="695"/>
        <v>32950</v>
      </c>
      <c r="H654" s="13">
        <f t="shared" si="695"/>
        <v>0</v>
      </c>
      <c r="J654" s="26"/>
    </row>
    <row r="655" spans="1:10" x14ac:dyDescent="0.25">
      <c r="A655" s="10" t="s">
        <v>105</v>
      </c>
      <c r="B655" s="31" t="s">
        <v>106</v>
      </c>
      <c r="C655" s="7">
        <v>50000</v>
      </c>
      <c r="D655" s="7">
        <f>32950-C655</f>
        <v>-17050</v>
      </c>
      <c r="E655" s="7">
        <f t="shared" ref="E655" si="696">+C655+D655</f>
        <v>32950</v>
      </c>
      <c r="F655" s="7">
        <v>32950</v>
      </c>
      <c r="G655" s="7">
        <f t="shared" ref="G655" si="697">+F655</f>
        <v>32950</v>
      </c>
      <c r="H655" s="7">
        <f t="shared" ref="H655" si="698">+E655-F655</f>
        <v>0</v>
      </c>
    </row>
    <row r="656" spans="1:10" s="15" customFormat="1" ht="15.75" x14ac:dyDescent="0.25">
      <c r="A656" s="32">
        <v>2.4</v>
      </c>
      <c r="B656" s="32" t="s">
        <v>41</v>
      </c>
      <c r="C656" s="13">
        <f>+C657</f>
        <v>250000</v>
      </c>
      <c r="D656" s="13">
        <f t="shared" ref="D656:H656" si="699">+D657</f>
        <v>-250000</v>
      </c>
      <c r="E656" s="13">
        <f t="shared" si="699"/>
        <v>0</v>
      </c>
      <c r="F656" s="13">
        <f t="shared" si="699"/>
        <v>0</v>
      </c>
      <c r="G656" s="13">
        <f t="shared" si="699"/>
        <v>0</v>
      </c>
      <c r="H656" s="13">
        <f t="shared" si="699"/>
        <v>0</v>
      </c>
      <c r="J656" s="26"/>
    </row>
    <row r="657" spans="1:10" s="17" customFormat="1" ht="15.75" x14ac:dyDescent="0.25">
      <c r="A657" s="31" t="s">
        <v>108</v>
      </c>
      <c r="B657" s="31" t="s">
        <v>111</v>
      </c>
      <c r="C657" s="7">
        <v>250000</v>
      </c>
      <c r="D657" s="7">
        <f>0-C657</f>
        <v>-250000</v>
      </c>
      <c r="E657" s="7">
        <f t="shared" ref="E657" si="700">+C657+D657</f>
        <v>0</v>
      </c>
      <c r="F657" s="7">
        <v>0</v>
      </c>
      <c r="G657" s="7">
        <f t="shared" ref="G657" si="701">+F657</f>
        <v>0</v>
      </c>
      <c r="H657" s="7">
        <f t="shared" ref="H657" si="702">+E657-F657</f>
        <v>0</v>
      </c>
      <c r="J657" s="18"/>
    </row>
    <row r="658" spans="1:10" s="3" customFormat="1" x14ac:dyDescent="0.25">
      <c r="A658" s="5">
        <v>3</v>
      </c>
      <c r="B658" s="4" t="s">
        <v>21</v>
      </c>
      <c r="C658" s="6">
        <f>+C661+C687+C666+C684+C668+C677+C679+C659</f>
        <v>4450000</v>
      </c>
      <c r="D658" s="6">
        <f t="shared" ref="D658:H658" si="703">+D661+D687+D666+D684+D668+D677+D679+D659</f>
        <v>3832392.4</v>
      </c>
      <c r="E658" s="6">
        <f t="shared" si="703"/>
        <v>8282392.3999999994</v>
      </c>
      <c r="F658" s="6">
        <f t="shared" si="703"/>
        <v>8282392.3999999994</v>
      </c>
      <c r="G658" s="6">
        <f t="shared" si="703"/>
        <v>8282392.3999999994</v>
      </c>
      <c r="H658" s="6">
        <f t="shared" si="703"/>
        <v>0</v>
      </c>
    </row>
    <row r="659" spans="1:10" s="3" customFormat="1" x14ac:dyDescent="0.25">
      <c r="A659" s="1">
        <v>3.1</v>
      </c>
      <c r="B659" s="3" t="s">
        <v>22</v>
      </c>
      <c r="C659" s="13">
        <f>+C660</f>
        <v>0</v>
      </c>
      <c r="D659" s="13">
        <f t="shared" ref="D659:H659" si="704">+D660</f>
        <v>102324.2</v>
      </c>
      <c r="E659" s="13">
        <f t="shared" si="704"/>
        <v>102324.2</v>
      </c>
      <c r="F659" s="13">
        <f t="shared" si="704"/>
        <v>102324.2</v>
      </c>
      <c r="G659" s="13">
        <f t="shared" si="704"/>
        <v>102324.2</v>
      </c>
      <c r="H659" s="13">
        <f t="shared" si="704"/>
        <v>0</v>
      </c>
    </row>
    <row r="660" spans="1:10" x14ac:dyDescent="0.25">
      <c r="A660" s="10" t="s">
        <v>138</v>
      </c>
      <c r="B660" s="2" t="s">
        <v>141</v>
      </c>
      <c r="C660" s="7">
        <v>0</v>
      </c>
      <c r="D660" s="7">
        <v>102324.2</v>
      </c>
      <c r="E660" s="7">
        <f t="shared" ref="E660" si="705">+C660+D660</f>
        <v>102324.2</v>
      </c>
      <c r="F660" s="7">
        <v>102324.2</v>
      </c>
      <c r="G660" s="7">
        <f>+F660</f>
        <v>102324.2</v>
      </c>
      <c r="H660" s="7">
        <f t="shared" ref="H660" si="706">+E660-F660</f>
        <v>0</v>
      </c>
    </row>
    <row r="661" spans="1:10" s="3" customFormat="1" x14ac:dyDescent="0.25">
      <c r="A661" s="1">
        <v>3.3</v>
      </c>
      <c r="B661" s="3" t="s">
        <v>45</v>
      </c>
      <c r="C661" s="13">
        <f>+C662+C663+C665+C664</f>
        <v>0</v>
      </c>
      <c r="D661" s="13">
        <f t="shared" ref="D661:H661" si="707">+D662+D663+D665+D664</f>
        <v>4752206.2699999996</v>
      </c>
      <c r="E661" s="13">
        <f t="shared" si="707"/>
        <v>4752206.2699999996</v>
      </c>
      <c r="F661" s="13">
        <f t="shared" si="707"/>
        <v>4752206.2699999996</v>
      </c>
      <c r="G661" s="13">
        <f t="shared" si="707"/>
        <v>4752206.2699999996</v>
      </c>
      <c r="H661" s="13">
        <f t="shared" si="707"/>
        <v>0</v>
      </c>
    </row>
    <row r="662" spans="1:10" x14ac:dyDescent="0.25">
      <c r="A662" s="10" t="s">
        <v>152</v>
      </c>
      <c r="B662" s="2" t="s">
        <v>159</v>
      </c>
      <c r="C662" s="7">
        <v>0</v>
      </c>
      <c r="D662" s="7">
        <v>0</v>
      </c>
      <c r="E662" s="7">
        <f t="shared" ref="E662:E663" si="708">+C662+D662</f>
        <v>0</v>
      </c>
      <c r="F662" s="7">
        <v>0</v>
      </c>
      <c r="G662" s="7">
        <f t="shared" ref="G662:G663" si="709">+F662</f>
        <v>0</v>
      </c>
      <c r="H662" s="7">
        <f t="shared" ref="H662:H663" si="710">+E662-F662</f>
        <v>0</v>
      </c>
    </row>
    <row r="663" spans="1:10" x14ac:dyDescent="0.25">
      <c r="A663" s="10" t="s">
        <v>154</v>
      </c>
      <c r="B663" s="2" t="s">
        <v>161</v>
      </c>
      <c r="C663" s="7">
        <v>0</v>
      </c>
      <c r="D663" s="7">
        <v>3846035.3</v>
      </c>
      <c r="E663" s="7">
        <f t="shared" si="708"/>
        <v>3846035.3</v>
      </c>
      <c r="F663" s="7">
        <v>3846035.3</v>
      </c>
      <c r="G663" s="7">
        <f t="shared" si="709"/>
        <v>3846035.3</v>
      </c>
      <c r="H663" s="7">
        <f t="shared" si="710"/>
        <v>0</v>
      </c>
    </row>
    <row r="664" spans="1:10" x14ac:dyDescent="0.25">
      <c r="A664" s="10" t="s">
        <v>156</v>
      </c>
      <c r="B664" s="2" t="s">
        <v>422</v>
      </c>
      <c r="C664" s="7">
        <v>0</v>
      </c>
      <c r="D664" s="7">
        <v>53000</v>
      </c>
      <c r="E664" s="7">
        <f t="shared" ref="E664" si="711">+C664+D664</f>
        <v>53000</v>
      </c>
      <c r="F664" s="7">
        <v>53000</v>
      </c>
      <c r="G664" s="7">
        <f t="shared" ref="G664" si="712">+F664</f>
        <v>53000</v>
      </c>
      <c r="H664" s="7">
        <f t="shared" ref="H664" si="713">+E664-F664</f>
        <v>0</v>
      </c>
    </row>
    <row r="665" spans="1:10" x14ac:dyDescent="0.25">
      <c r="A665" s="10" t="s">
        <v>158</v>
      </c>
      <c r="B665" s="2" t="s">
        <v>165</v>
      </c>
      <c r="C665" s="7">
        <v>0</v>
      </c>
      <c r="D665" s="7">
        <v>853170.97</v>
      </c>
      <c r="E665" s="7">
        <f t="shared" ref="E665" si="714">+C665+D665</f>
        <v>853170.97</v>
      </c>
      <c r="F665" s="7">
        <v>853170.97</v>
      </c>
      <c r="G665" s="7">
        <f t="shared" ref="G665" si="715">+F665</f>
        <v>853170.97</v>
      </c>
      <c r="H665" s="7">
        <f t="shared" ref="H665" si="716">+E665-F665</f>
        <v>0</v>
      </c>
    </row>
    <row r="666" spans="1:10" s="3" customFormat="1" x14ac:dyDescent="0.25">
      <c r="A666" s="1" t="s">
        <v>370</v>
      </c>
      <c r="B666" s="32" t="s">
        <v>46</v>
      </c>
      <c r="C666" s="13">
        <f>+C667</f>
        <v>300</v>
      </c>
      <c r="D666" s="13">
        <f t="shared" ref="D666:H666" si="717">+D667</f>
        <v>216.20000000000005</v>
      </c>
      <c r="E666" s="13">
        <f t="shared" si="717"/>
        <v>516.20000000000005</v>
      </c>
      <c r="F666" s="13">
        <f t="shared" si="717"/>
        <v>516.20000000000005</v>
      </c>
      <c r="G666" s="13">
        <f t="shared" si="717"/>
        <v>516.20000000000005</v>
      </c>
      <c r="H666" s="13">
        <f t="shared" si="717"/>
        <v>0</v>
      </c>
    </row>
    <row r="667" spans="1:10" x14ac:dyDescent="0.25">
      <c r="A667" s="10" t="s">
        <v>166</v>
      </c>
      <c r="B667" s="31" t="s">
        <v>168</v>
      </c>
      <c r="C667" s="7">
        <v>300</v>
      </c>
      <c r="D667" s="7">
        <f>516.2-C667</f>
        <v>216.20000000000005</v>
      </c>
      <c r="E667" s="7">
        <f t="shared" ref="E667" si="718">+C667+D667</f>
        <v>516.20000000000005</v>
      </c>
      <c r="F667" s="7">
        <v>516.20000000000005</v>
      </c>
      <c r="G667" s="7">
        <f t="shared" ref="G667" si="719">+F667</f>
        <v>516.20000000000005</v>
      </c>
      <c r="H667" s="7">
        <f t="shared" ref="H667" si="720">+E667-F667</f>
        <v>0</v>
      </c>
    </row>
    <row r="668" spans="1:10" s="3" customFormat="1" x14ac:dyDescent="0.25">
      <c r="A668" s="1">
        <v>3.5</v>
      </c>
      <c r="B668" s="3" t="s">
        <v>47</v>
      </c>
      <c r="C668" s="13">
        <f>+C669+C672+C674+C676+C670+C671+C673+C675</f>
        <v>0</v>
      </c>
      <c r="D668" s="13">
        <f t="shared" ref="D668:E668" si="721">+D669+D672+D674+D676+D670+D671+D673+D675</f>
        <v>570933.73</v>
      </c>
      <c r="E668" s="13">
        <f t="shared" si="721"/>
        <v>570933.73</v>
      </c>
      <c r="F668" s="13">
        <f>+F669+F672+F674+F676+F670+F671+F673+F675</f>
        <v>570933.73</v>
      </c>
      <c r="G668" s="13">
        <f t="shared" ref="G668:H668" si="722">+G669+G672+G674+G676+G670+G671+G673+G675</f>
        <v>570933.73</v>
      </c>
      <c r="H668" s="13">
        <f t="shared" si="722"/>
        <v>0</v>
      </c>
      <c r="I668" s="29"/>
    </row>
    <row r="669" spans="1:10" x14ac:dyDescent="0.25">
      <c r="A669" s="10" t="s">
        <v>170</v>
      </c>
      <c r="B669" s="2" t="s">
        <v>175</v>
      </c>
      <c r="C669" s="7">
        <v>0</v>
      </c>
      <c r="D669" s="7">
        <v>570933.73</v>
      </c>
      <c r="E669" s="7">
        <f t="shared" ref="E669:E676" si="723">+C669+D669</f>
        <v>570933.73</v>
      </c>
      <c r="F669" s="7">
        <f>29694+541239.73</f>
        <v>570933.73</v>
      </c>
      <c r="G669" s="7">
        <f t="shared" ref="G669:G676" si="724">+F669</f>
        <v>570933.73</v>
      </c>
      <c r="H669" s="7">
        <f t="shared" ref="H669:H676" si="725">+E669-F669</f>
        <v>0</v>
      </c>
      <c r="I669" s="29"/>
    </row>
    <row r="670" spans="1:10" x14ac:dyDescent="0.25">
      <c r="A670" s="10" t="s">
        <v>266</v>
      </c>
      <c r="B670" s="2" t="s">
        <v>310</v>
      </c>
      <c r="C670" s="7">
        <v>0</v>
      </c>
      <c r="D670" s="7">
        <v>0</v>
      </c>
      <c r="E670" s="7">
        <f t="shared" si="723"/>
        <v>0</v>
      </c>
      <c r="F670" s="7">
        <v>0</v>
      </c>
      <c r="G670" s="7">
        <f t="shared" si="724"/>
        <v>0</v>
      </c>
      <c r="H670" s="7">
        <f t="shared" si="725"/>
        <v>0</v>
      </c>
      <c r="I670" s="29"/>
    </row>
    <row r="671" spans="1:10" x14ac:dyDescent="0.25">
      <c r="A671" s="10" t="s">
        <v>309</v>
      </c>
      <c r="B671" s="2" t="s">
        <v>311</v>
      </c>
      <c r="C671" s="7">
        <v>0</v>
      </c>
      <c r="D671" s="7">
        <v>0</v>
      </c>
      <c r="E671" s="7">
        <f t="shared" si="723"/>
        <v>0</v>
      </c>
      <c r="F671" s="7">
        <v>0</v>
      </c>
      <c r="G671" s="7">
        <f t="shared" si="724"/>
        <v>0</v>
      </c>
      <c r="H671" s="7">
        <f t="shared" si="725"/>
        <v>0</v>
      </c>
      <c r="I671" s="29"/>
    </row>
    <row r="672" spans="1:10" x14ac:dyDescent="0.25">
      <c r="A672" s="10" t="s">
        <v>171</v>
      </c>
      <c r="B672" s="2" t="s">
        <v>176</v>
      </c>
      <c r="C672" s="7">
        <v>0</v>
      </c>
      <c r="D672" s="7">
        <v>0</v>
      </c>
      <c r="E672" s="7">
        <f t="shared" si="723"/>
        <v>0</v>
      </c>
      <c r="F672" s="7">
        <v>0</v>
      </c>
      <c r="G672" s="7">
        <f t="shared" si="724"/>
        <v>0</v>
      </c>
      <c r="H672" s="7">
        <f t="shared" si="725"/>
        <v>0</v>
      </c>
      <c r="I672" s="29"/>
    </row>
    <row r="673" spans="1:9" x14ac:dyDescent="0.25">
      <c r="A673" s="10" t="s">
        <v>312</v>
      </c>
      <c r="B673" s="2" t="s">
        <v>313</v>
      </c>
      <c r="C673" s="7">
        <v>0</v>
      </c>
      <c r="D673" s="7">
        <v>0</v>
      </c>
      <c r="E673" s="7">
        <f t="shared" si="723"/>
        <v>0</v>
      </c>
      <c r="F673" s="7">
        <v>0</v>
      </c>
      <c r="G673" s="7">
        <f t="shared" si="724"/>
        <v>0</v>
      </c>
      <c r="H673" s="7">
        <f t="shared" si="725"/>
        <v>0</v>
      </c>
      <c r="I673" s="29"/>
    </row>
    <row r="674" spans="1:9" x14ac:dyDescent="0.25">
      <c r="A674" s="10" t="s">
        <v>172</v>
      </c>
      <c r="B674" s="2" t="s">
        <v>177</v>
      </c>
      <c r="C674" s="7">
        <v>0</v>
      </c>
      <c r="D674" s="7">
        <v>0</v>
      </c>
      <c r="E674" s="7">
        <f t="shared" si="723"/>
        <v>0</v>
      </c>
      <c r="F674" s="7">
        <v>0</v>
      </c>
      <c r="G674" s="7">
        <f t="shared" si="724"/>
        <v>0</v>
      </c>
      <c r="H674" s="7">
        <f t="shared" si="725"/>
        <v>0</v>
      </c>
      <c r="I674" s="29"/>
    </row>
    <row r="675" spans="1:9" x14ac:dyDescent="0.25">
      <c r="A675" s="10" t="s">
        <v>173</v>
      </c>
      <c r="B675" s="2" t="s">
        <v>178</v>
      </c>
      <c r="C675" s="7">
        <v>0</v>
      </c>
      <c r="D675" s="7">
        <v>0</v>
      </c>
      <c r="E675" s="7">
        <f t="shared" si="723"/>
        <v>0</v>
      </c>
      <c r="F675" s="7">
        <v>0</v>
      </c>
      <c r="G675" s="7">
        <f t="shared" si="724"/>
        <v>0</v>
      </c>
      <c r="H675" s="7">
        <f t="shared" si="725"/>
        <v>0</v>
      </c>
      <c r="I675" s="29"/>
    </row>
    <row r="676" spans="1:9" x14ac:dyDescent="0.25">
      <c r="A676" s="10" t="s">
        <v>174</v>
      </c>
      <c r="B676" s="2" t="s">
        <v>179</v>
      </c>
      <c r="C676" s="7">
        <v>0</v>
      </c>
      <c r="D676" s="7">
        <v>0</v>
      </c>
      <c r="E676" s="7">
        <f t="shared" si="723"/>
        <v>0</v>
      </c>
      <c r="F676" s="7">
        <v>0</v>
      </c>
      <c r="G676" s="7">
        <f t="shared" si="724"/>
        <v>0</v>
      </c>
      <c r="H676" s="7">
        <f t="shared" si="725"/>
        <v>0</v>
      </c>
      <c r="I676" s="29"/>
    </row>
    <row r="677" spans="1:9" s="3" customFormat="1" x14ac:dyDescent="0.25">
      <c r="A677" s="1">
        <v>3.6</v>
      </c>
      <c r="B677" s="3" t="s">
        <v>48</v>
      </c>
      <c r="C677" s="13">
        <f>+C678</f>
        <v>0</v>
      </c>
      <c r="D677" s="13">
        <f>+D678</f>
        <v>0</v>
      </c>
      <c r="E677" s="13">
        <f>+E678</f>
        <v>0</v>
      </c>
      <c r="F677" s="13">
        <f>+F678</f>
        <v>0</v>
      </c>
      <c r="G677" s="13">
        <f t="shared" ref="G677:H677" si="726">+G678</f>
        <v>0</v>
      </c>
      <c r="H677" s="13">
        <f t="shared" si="726"/>
        <v>0</v>
      </c>
      <c r="I677" s="29"/>
    </row>
    <row r="678" spans="1:9" x14ac:dyDescent="0.25">
      <c r="A678" s="10" t="s">
        <v>180</v>
      </c>
      <c r="B678" s="2" t="s">
        <v>181</v>
      </c>
      <c r="C678" s="7">
        <v>0</v>
      </c>
      <c r="D678" s="7">
        <v>0</v>
      </c>
      <c r="E678" s="7">
        <f t="shared" ref="E678" si="727">+C678+D678</f>
        <v>0</v>
      </c>
      <c r="F678" s="7">
        <v>0</v>
      </c>
      <c r="G678" s="7">
        <f t="shared" ref="G678" si="728">+F678</f>
        <v>0</v>
      </c>
      <c r="H678" s="7">
        <f t="shared" ref="H678" si="729">+E678-F678</f>
        <v>0</v>
      </c>
      <c r="I678" s="29"/>
    </row>
    <row r="679" spans="1:9" s="3" customFormat="1" x14ac:dyDescent="0.25">
      <c r="A679" s="1">
        <v>3.7</v>
      </c>
      <c r="B679" s="3" t="s">
        <v>24</v>
      </c>
      <c r="C679" s="13">
        <f>+C680+C681+C682+C683</f>
        <v>0</v>
      </c>
      <c r="D679" s="13">
        <f t="shared" ref="D679:H679" si="730">+D680+D681+D682+D683</f>
        <v>18207</v>
      </c>
      <c r="E679" s="13">
        <f t="shared" si="730"/>
        <v>18207</v>
      </c>
      <c r="F679" s="13">
        <f t="shared" si="730"/>
        <v>18207</v>
      </c>
      <c r="G679" s="13">
        <f t="shared" si="730"/>
        <v>18207</v>
      </c>
      <c r="H679" s="13">
        <f t="shared" si="730"/>
        <v>0</v>
      </c>
      <c r="I679" s="29"/>
    </row>
    <row r="680" spans="1:9" x14ac:dyDescent="0.25">
      <c r="A680" s="10" t="s">
        <v>182</v>
      </c>
      <c r="B680" s="2" t="s">
        <v>185</v>
      </c>
      <c r="C680" s="7">
        <v>0</v>
      </c>
      <c r="D680" s="7">
        <v>0</v>
      </c>
      <c r="E680" s="7">
        <f t="shared" ref="E680:E683" si="731">+C680+D680</f>
        <v>0</v>
      </c>
      <c r="F680" s="7">
        <v>0</v>
      </c>
      <c r="G680" s="7">
        <f t="shared" ref="G680:G683" si="732">+F680</f>
        <v>0</v>
      </c>
      <c r="H680" s="7">
        <f t="shared" ref="H680:H683" si="733">+E680-F680</f>
        <v>0</v>
      </c>
      <c r="I680" s="29"/>
    </row>
    <row r="681" spans="1:9" x14ac:dyDescent="0.25">
      <c r="A681" s="10" t="s">
        <v>183</v>
      </c>
      <c r="B681" s="2" t="s">
        <v>314</v>
      </c>
      <c r="C681" s="7">
        <v>0</v>
      </c>
      <c r="D681" s="7">
        <v>18207</v>
      </c>
      <c r="E681" s="7">
        <f t="shared" si="731"/>
        <v>18207</v>
      </c>
      <c r="F681" s="7">
        <v>18207</v>
      </c>
      <c r="G681" s="7">
        <f t="shared" si="732"/>
        <v>18207</v>
      </c>
      <c r="H681" s="7">
        <f t="shared" si="733"/>
        <v>0</v>
      </c>
      <c r="I681" s="29"/>
    </row>
    <row r="682" spans="1:9" x14ac:dyDescent="0.25">
      <c r="A682" s="10" t="s">
        <v>315</v>
      </c>
      <c r="B682" s="2" t="s">
        <v>316</v>
      </c>
      <c r="C682" s="7">
        <v>0</v>
      </c>
      <c r="D682" s="7">
        <v>0</v>
      </c>
      <c r="E682" s="7">
        <f t="shared" si="731"/>
        <v>0</v>
      </c>
      <c r="F682" s="7">
        <v>0</v>
      </c>
      <c r="G682" s="7">
        <f t="shared" si="732"/>
        <v>0</v>
      </c>
      <c r="H682" s="7">
        <f t="shared" si="733"/>
        <v>0</v>
      </c>
      <c r="I682" s="29"/>
    </row>
    <row r="683" spans="1:9" x14ac:dyDescent="0.25">
      <c r="A683" s="10" t="s">
        <v>184</v>
      </c>
      <c r="B683" s="2" t="s">
        <v>187</v>
      </c>
      <c r="C683" s="7">
        <v>0</v>
      </c>
      <c r="D683" s="7">
        <v>0</v>
      </c>
      <c r="E683" s="7">
        <f t="shared" si="731"/>
        <v>0</v>
      </c>
      <c r="F683" s="7">
        <v>0</v>
      </c>
      <c r="G683" s="7">
        <f t="shared" si="732"/>
        <v>0</v>
      </c>
      <c r="H683" s="7">
        <f t="shared" si="733"/>
        <v>0</v>
      </c>
      <c r="I683" s="29"/>
    </row>
    <row r="684" spans="1:9" s="3" customFormat="1" x14ac:dyDescent="0.25">
      <c r="A684" s="1" t="s">
        <v>373</v>
      </c>
      <c r="B684" s="32" t="s">
        <v>25</v>
      </c>
      <c r="C684" s="13">
        <f>+C685+C686</f>
        <v>949700</v>
      </c>
      <c r="D684" s="13">
        <f t="shared" ref="D684:H684" si="734">+D685+D686</f>
        <v>1887800</v>
      </c>
      <c r="E684" s="13">
        <f t="shared" si="734"/>
        <v>2837500</v>
      </c>
      <c r="F684" s="13">
        <f t="shared" si="734"/>
        <v>2837500</v>
      </c>
      <c r="G684" s="13">
        <f t="shared" si="734"/>
        <v>2837500</v>
      </c>
      <c r="H684" s="13">
        <f t="shared" si="734"/>
        <v>0</v>
      </c>
    </row>
    <row r="685" spans="1:9" x14ac:dyDescent="0.25">
      <c r="A685" s="10" t="s">
        <v>188</v>
      </c>
      <c r="B685" s="31" t="s">
        <v>191</v>
      </c>
      <c r="C685" s="7">
        <v>349700</v>
      </c>
      <c r="D685" s="7">
        <f>0-C685</f>
        <v>-349700</v>
      </c>
      <c r="E685" s="7">
        <f t="shared" ref="E685" si="735">+C685+D685</f>
        <v>0</v>
      </c>
      <c r="F685" s="7">
        <v>0</v>
      </c>
      <c r="G685" s="7">
        <f t="shared" ref="G685" si="736">+F685</f>
        <v>0</v>
      </c>
      <c r="H685" s="7">
        <f t="shared" ref="H685" si="737">+E685-F685</f>
        <v>0</v>
      </c>
    </row>
    <row r="686" spans="1:9" x14ac:dyDescent="0.25">
      <c r="A686" s="10" t="s">
        <v>189</v>
      </c>
      <c r="B686" s="31" t="s">
        <v>192</v>
      </c>
      <c r="C686" s="7">
        <v>600000</v>
      </c>
      <c r="D686" s="7">
        <f>2837500-C686</f>
        <v>2237500</v>
      </c>
      <c r="E686" s="7">
        <f t="shared" ref="E686" si="738">+C686+D686</f>
        <v>2837500</v>
      </c>
      <c r="F686" s="7">
        <v>2837500</v>
      </c>
      <c r="G686" s="7">
        <f t="shared" ref="G686" si="739">+F686</f>
        <v>2837500</v>
      </c>
      <c r="H686" s="7">
        <f t="shared" ref="H686" si="740">+E686-F686</f>
        <v>0</v>
      </c>
    </row>
    <row r="687" spans="1:9" s="3" customFormat="1" x14ac:dyDescent="0.25">
      <c r="A687" s="1">
        <v>3.9</v>
      </c>
      <c r="B687" s="3" t="s">
        <v>26</v>
      </c>
      <c r="C687" s="13">
        <f>+C689+C688+C690</f>
        <v>3500000</v>
      </c>
      <c r="D687" s="13">
        <f t="shared" ref="D687:H687" si="741">+D689+D688+D690</f>
        <v>-3499295</v>
      </c>
      <c r="E687" s="13">
        <f t="shared" si="741"/>
        <v>705</v>
      </c>
      <c r="F687" s="13">
        <f t="shared" si="741"/>
        <v>705</v>
      </c>
      <c r="G687" s="13">
        <f t="shared" si="741"/>
        <v>705</v>
      </c>
      <c r="H687" s="13">
        <f t="shared" si="741"/>
        <v>0</v>
      </c>
    </row>
    <row r="688" spans="1:9" x14ac:dyDescent="0.25">
      <c r="A688" s="10" t="s">
        <v>194</v>
      </c>
      <c r="B688" s="2" t="s">
        <v>269</v>
      </c>
      <c r="C688" s="7">
        <v>3500000</v>
      </c>
      <c r="D688" s="7">
        <f>0-C688</f>
        <v>-3500000</v>
      </c>
      <c r="E688" s="7">
        <f t="shared" ref="E688:E689" si="742">+C688+D688</f>
        <v>0</v>
      </c>
      <c r="F688" s="7">
        <v>0</v>
      </c>
      <c r="G688" s="7">
        <f t="shared" ref="G688:G689" si="743">+F688</f>
        <v>0</v>
      </c>
      <c r="H688" s="7">
        <f t="shared" ref="H688:H689" si="744">+E688-F688</f>
        <v>0</v>
      </c>
    </row>
    <row r="689" spans="1:10" ht="15.75" customHeight="1" x14ac:dyDescent="0.25">
      <c r="A689" s="10" t="s">
        <v>196</v>
      </c>
      <c r="B689" s="2" t="s">
        <v>201</v>
      </c>
      <c r="C689" s="7">
        <v>0</v>
      </c>
      <c r="D689" s="7">
        <v>0</v>
      </c>
      <c r="E689" s="7">
        <f t="shared" si="742"/>
        <v>0</v>
      </c>
      <c r="F689" s="7">
        <v>0</v>
      </c>
      <c r="G689" s="7">
        <f t="shared" si="743"/>
        <v>0</v>
      </c>
      <c r="H689" s="7">
        <f t="shared" si="744"/>
        <v>0</v>
      </c>
    </row>
    <row r="690" spans="1:10" x14ac:dyDescent="0.25">
      <c r="A690" s="10" t="s">
        <v>198</v>
      </c>
      <c r="B690" s="2" t="s">
        <v>26</v>
      </c>
      <c r="C690" s="7">
        <v>0</v>
      </c>
      <c r="D690" s="7">
        <v>705</v>
      </c>
      <c r="E690" s="7">
        <f>+C690+D690</f>
        <v>705</v>
      </c>
      <c r="F690" s="7">
        <v>705</v>
      </c>
      <c r="G690" s="7">
        <f>+F690</f>
        <v>705</v>
      </c>
      <c r="H690" s="7">
        <f>+E690-F690</f>
        <v>0</v>
      </c>
      <c r="I690" s="29"/>
    </row>
    <row r="691" spans="1:10" s="3" customFormat="1" x14ac:dyDescent="0.25">
      <c r="A691" s="5">
        <v>4</v>
      </c>
      <c r="B691" s="4" t="s">
        <v>49</v>
      </c>
      <c r="C691" s="6">
        <f>+C692</f>
        <v>1100000</v>
      </c>
      <c r="D691" s="6">
        <f t="shared" ref="D691:H691" si="745">+D692</f>
        <v>-1100000</v>
      </c>
      <c r="E691" s="6">
        <f t="shared" si="745"/>
        <v>0</v>
      </c>
      <c r="F691" s="6">
        <f t="shared" si="745"/>
        <v>0</v>
      </c>
      <c r="G691" s="6">
        <f t="shared" si="745"/>
        <v>0</v>
      </c>
      <c r="H691" s="6">
        <f t="shared" si="745"/>
        <v>0</v>
      </c>
    </row>
    <row r="692" spans="1:10" s="3" customFormat="1" x14ac:dyDescent="0.25">
      <c r="A692" s="1">
        <v>4.4000000000000004</v>
      </c>
      <c r="B692" s="3" t="s">
        <v>28</v>
      </c>
      <c r="C692" s="13">
        <f>+C695+C693+C694</f>
        <v>1100000</v>
      </c>
      <c r="D692" s="13">
        <f t="shared" ref="D692:H692" si="746">+D695+D693+D694</f>
        <v>-1100000</v>
      </c>
      <c r="E692" s="13">
        <f t="shared" si="746"/>
        <v>0</v>
      </c>
      <c r="F692" s="13">
        <f t="shared" si="746"/>
        <v>0</v>
      </c>
      <c r="G692" s="13">
        <f t="shared" si="746"/>
        <v>0</v>
      </c>
      <c r="H692" s="13">
        <f t="shared" si="746"/>
        <v>0</v>
      </c>
    </row>
    <row r="693" spans="1:10" x14ac:dyDescent="0.25">
      <c r="A693" s="10" t="s">
        <v>211</v>
      </c>
      <c r="B693" s="31" t="s">
        <v>216</v>
      </c>
      <c r="C693" s="7">
        <v>600000</v>
      </c>
      <c r="D693" s="7">
        <f>0-C693</f>
        <v>-600000</v>
      </c>
      <c r="E693" s="7">
        <f t="shared" ref="E693:E694" si="747">+C693+D693</f>
        <v>0</v>
      </c>
      <c r="F693" s="7">
        <v>0</v>
      </c>
      <c r="G693" s="7">
        <f t="shared" ref="G693:G694" si="748">+F693</f>
        <v>0</v>
      </c>
      <c r="H693" s="7">
        <f t="shared" ref="H693:H694" si="749">+E693-F693</f>
        <v>0</v>
      </c>
    </row>
    <row r="694" spans="1:10" x14ac:dyDescent="0.25">
      <c r="A694" s="10" t="s">
        <v>212</v>
      </c>
      <c r="B694" s="31" t="s">
        <v>217</v>
      </c>
      <c r="C694" s="7">
        <v>300000</v>
      </c>
      <c r="D694" s="7">
        <f>0-C694</f>
        <v>-300000</v>
      </c>
      <c r="E694" s="7">
        <f t="shared" si="747"/>
        <v>0</v>
      </c>
      <c r="F694" s="7">
        <v>0</v>
      </c>
      <c r="G694" s="7">
        <f t="shared" si="748"/>
        <v>0</v>
      </c>
      <c r="H694" s="7">
        <f t="shared" si="749"/>
        <v>0</v>
      </c>
    </row>
    <row r="695" spans="1:10" x14ac:dyDescent="0.25">
      <c r="A695" s="10" t="s">
        <v>213</v>
      </c>
      <c r="B695" s="2" t="s">
        <v>218</v>
      </c>
      <c r="C695" s="7">
        <v>200000</v>
      </c>
      <c r="D695" s="7">
        <f>0-C695</f>
        <v>-200000</v>
      </c>
      <c r="E695" s="7">
        <f t="shared" ref="E695" si="750">+C695+D695</f>
        <v>0</v>
      </c>
      <c r="F695" s="7">
        <v>0</v>
      </c>
      <c r="G695" s="7">
        <f t="shared" ref="G695" si="751">+F695</f>
        <v>0</v>
      </c>
      <c r="H695" s="7">
        <f t="shared" ref="H695" si="752">+E695-F695</f>
        <v>0</v>
      </c>
    </row>
    <row r="696" spans="1:10" x14ac:dyDescent="0.25">
      <c r="A696" s="5">
        <v>6</v>
      </c>
      <c r="B696" s="4" t="s">
        <v>35</v>
      </c>
      <c r="C696" s="6">
        <f>+C697</f>
        <v>0</v>
      </c>
      <c r="D696" s="6">
        <f t="shared" ref="D696:H697" si="753">+D697</f>
        <v>884330</v>
      </c>
      <c r="E696" s="6">
        <f t="shared" si="753"/>
        <v>884330</v>
      </c>
      <c r="F696" s="6">
        <f t="shared" si="753"/>
        <v>884330</v>
      </c>
      <c r="G696" s="6">
        <f t="shared" si="753"/>
        <v>598724.18000000005</v>
      </c>
      <c r="H696" s="6">
        <f t="shared" si="753"/>
        <v>0</v>
      </c>
    </row>
    <row r="697" spans="1:10" s="3" customFormat="1" x14ac:dyDescent="0.25">
      <c r="A697" s="1">
        <v>6.1</v>
      </c>
      <c r="B697" s="3" t="s">
        <v>53</v>
      </c>
      <c r="C697" s="13">
        <f>+C698</f>
        <v>0</v>
      </c>
      <c r="D697" s="13">
        <f t="shared" si="753"/>
        <v>884330</v>
      </c>
      <c r="E697" s="13">
        <f t="shared" si="753"/>
        <v>884330</v>
      </c>
      <c r="F697" s="13">
        <f t="shared" si="753"/>
        <v>884330</v>
      </c>
      <c r="G697" s="13">
        <f t="shared" si="753"/>
        <v>598724.18000000005</v>
      </c>
      <c r="H697" s="13">
        <f t="shared" si="753"/>
        <v>0</v>
      </c>
    </row>
    <row r="698" spans="1:10" x14ac:dyDescent="0.25">
      <c r="A698" s="10" t="s">
        <v>252</v>
      </c>
      <c r="B698" s="2" t="s">
        <v>256</v>
      </c>
      <c r="C698" s="7">
        <v>0</v>
      </c>
      <c r="D698" s="7">
        <v>884330</v>
      </c>
      <c r="E698" s="7">
        <f t="shared" ref="E698" si="754">+C698+D698</f>
        <v>884330</v>
      </c>
      <c r="F698" s="7">
        <v>884330</v>
      </c>
      <c r="G698" s="7">
        <v>598724.18000000005</v>
      </c>
      <c r="H698" s="7">
        <f t="shared" ref="H698" si="755">+E698-F698</f>
        <v>0</v>
      </c>
    </row>
    <row r="699" spans="1:10" x14ac:dyDescent="0.25">
      <c r="A699" s="10"/>
      <c r="C699" s="7"/>
      <c r="D699" s="7"/>
      <c r="E699" s="7"/>
      <c r="F699" s="7"/>
      <c r="G699" s="7"/>
      <c r="H699" s="7"/>
    </row>
    <row r="700" spans="1:10" s="17" customFormat="1" ht="15.75" x14ac:dyDescent="0.25">
      <c r="A700" s="14" t="s">
        <v>264</v>
      </c>
      <c r="B700" s="15"/>
      <c r="C700" s="16">
        <f>+C701+C705+C708</f>
        <v>0</v>
      </c>
      <c r="D700" s="16">
        <f t="shared" ref="D700:G700" si="756">+D701+D705+D708</f>
        <v>0</v>
      </c>
      <c r="E700" s="16">
        <f t="shared" si="756"/>
        <v>0</v>
      </c>
      <c r="F700" s="16">
        <f>+F701+F705+F708</f>
        <v>0</v>
      </c>
      <c r="G700" s="16">
        <f t="shared" si="756"/>
        <v>0</v>
      </c>
      <c r="H700" s="16">
        <f>+H701+H705+H708</f>
        <v>0</v>
      </c>
      <c r="J700" s="18"/>
    </row>
    <row r="701" spans="1:10" s="3" customFormat="1" x14ac:dyDescent="0.25">
      <c r="A701" s="5">
        <v>3</v>
      </c>
      <c r="B701" s="4" t="s">
        <v>21</v>
      </c>
      <c r="C701" s="6">
        <f>+C702</f>
        <v>0</v>
      </c>
      <c r="D701" s="6">
        <f t="shared" ref="D701:H703" si="757">+D702</f>
        <v>0</v>
      </c>
      <c r="E701" s="6">
        <f t="shared" si="757"/>
        <v>0</v>
      </c>
      <c r="F701" s="6">
        <f t="shared" si="757"/>
        <v>0</v>
      </c>
      <c r="G701" s="6">
        <f t="shared" si="757"/>
        <v>0</v>
      </c>
      <c r="H701" s="6">
        <f t="shared" si="757"/>
        <v>0</v>
      </c>
    </row>
    <row r="702" spans="1:10" s="3" customFormat="1" x14ac:dyDescent="0.25">
      <c r="A702" s="5">
        <v>3.1</v>
      </c>
      <c r="B702" s="4" t="s">
        <v>22</v>
      </c>
      <c r="C702" s="6">
        <f>+C703</f>
        <v>0</v>
      </c>
      <c r="D702" s="6">
        <f t="shared" si="757"/>
        <v>0</v>
      </c>
      <c r="E702" s="6">
        <f t="shared" si="757"/>
        <v>0</v>
      </c>
      <c r="F702" s="6">
        <f t="shared" si="757"/>
        <v>0</v>
      </c>
      <c r="G702" s="6">
        <f t="shared" si="757"/>
        <v>0</v>
      </c>
      <c r="H702" s="6">
        <f t="shared" si="757"/>
        <v>0</v>
      </c>
    </row>
    <row r="703" spans="1:10" s="3" customFormat="1" x14ac:dyDescent="0.25">
      <c r="A703" s="5">
        <v>3.4</v>
      </c>
      <c r="B703" s="4" t="s">
        <v>46</v>
      </c>
      <c r="C703" s="6">
        <f>+C704</f>
        <v>0</v>
      </c>
      <c r="D703" s="6">
        <f t="shared" si="757"/>
        <v>0</v>
      </c>
      <c r="E703" s="6">
        <f t="shared" si="757"/>
        <v>0</v>
      </c>
      <c r="F703" s="6">
        <f t="shared" si="757"/>
        <v>0</v>
      </c>
      <c r="G703" s="6">
        <f t="shared" si="757"/>
        <v>0</v>
      </c>
      <c r="H703" s="6">
        <f t="shared" si="757"/>
        <v>0</v>
      </c>
    </row>
    <row r="704" spans="1:10" s="3" customFormat="1" x14ac:dyDescent="0.25">
      <c r="A704" s="10" t="s">
        <v>166</v>
      </c>
      <c r="B704" s="2" t="s">
        <v>168</v>
      </c>
      <c r="C704" s="7">
        <v>0</v>
      </c>
      <c r="D704" s="7">
        <v>0</v>
      </c>
      <c r="E704" s="7">
        <f>+C704+D704</f>
        <v>0</v>
      </c>
      <c r="F704" s="7">
        <v>0</v>
      </c>
      <c r="G704" s="7">
        <f t="shared" ref="G704" si="758">+F704</f>
        <v>0</v>
      </c>
      <c r="H704" s="7">
        <f>+E704-F704</f>
        <v>0</v>
      </c>
    </row>
    <row r="705" spans="1:10" s="3" customFormat="1" x14ac:dyDescent="0.25">
      <c r="A705" s="5">
        <v>4</v>
      </c>
      <c r="B705" s="4" t="s">
        <v>49</v>
      </c>
      <c r="C705" s="6">
        <f>+C706</f>
        <v>0</v>
      </c>
      <c r="D705" s="6">
        <f t="shared" ref="D705:H706" si="759">+D706</f>
        <v>0</v>
      </c>
      <c r="E705" s="6">
        <f t="shared" si="759"/>
        <v>0</v>
      </c>
      <c r="F705" s="6">
        <f>+F706</f>
        <v>0</v>
      </c>
      <c r="G705" s="6">
        <f t="shared" si="759"/>
        <v>0</v>
      </c>
      <c r="H705" s="6">
        <f t="shared" si="759"/>
        <v>0</v>
      </c>
    </row>
    <row r="706" spans="1:10" s="3" customFormat="1" x14ac:dyDescent="0.25">
      <c r="A706" s="1">
        <v>4.0999999999999996</v>
      </c>
      <c r="B706" s="3" t="s">
        <v>50</v>
      </c>
      <c r="C706" s="13">
        <f>+C707</f>
        <v>0</v>
      </c>
      <c r="D706" s="13">
        <f t="shared" si="759"/>
        <v>0</v>
      </c>
      <c r="E706" s="13">
        <f t="shared" si="759"/>
        <v>0</v>
      </c>
      <c r="F706" s="13">
        <f>+F707</f>
        <v>0</v>
      </c>
      <c r="G706" s="13">
        <f t="shared" si="759"/>
        <v>0</v>
      </c>
      <c r="H706" s="13">
        <f t="shared" si="759"/>
        <v>0</v>
      </c>
    </row>
    <row r="707" spans="1:10" s="3" customFormat="1" x14ac:dyDescent="0.25">
      <c r="A707" s="10" t="s">
        <v>203</v>
      </c>
      <c r="B707" s="2" t="s">
        <v>206</v>
      </c>
      <c r="C707" s="7">
        <v>0</v>
      </c>
      <c r="D707" s="7">
        <v>0</v>
      </c>
      <c r="E707" s="7">
        <f t="shared" ref="E707" si="760">+C707+D707</f>
        <v>0</v>
      </c>
      <c r="F707" s="7">
        <v>0</v>
      </c>
      <c r="G707" s="7">
        <f>+F707</f>
        <v>0</v>
      </c>
      <c r="H707" s="7">
        <f>+E707-F707</f>
        <v>0</v>
      </c>
    </row>
    <row r="708" spans="1:10" s="3" customFormat="1" x14ac:dyDescent="0.25">
      <c r="A708" s="5">
        <v>5</v>
      </c>
      <c r="B708" s="4" t="s">
        <v>30</v>
      </c>
      <c r="C708" s="6">
        <f>+C709</f>
        <v>0</v>
      </c>
      <c r="D708" s="6">
        <f t="shared" ref="D708:F708" si="761">+D709</f>
        <v>0</v>
      </c>
      <c r="E708" s="6">
        <f t="shared" si="761"/>
        <v>0</v>
      </c>
      <c r="F708" s="6">
        <f t="shared" si="761"/>
        <v>0</v>
      </c>
      <c r="G708" s="6">
        <f>+G709</f>
        <v>0</v>
      </c>
      <c r="H708" s="6">
        <f>+H709</f>
        <v>0</v>
      </c>
    </row>
    <row r="709" spans="1:10" s="3" customFormat="1" x14ac:dyDescent="0.25">
      <c r="A709" s="1">
        <v>5.0999999999999996</v>
      </c>
      <c r="B709" s="3" t="s">
        <v>31</v>
      </c>
      <c r="C709" s="13">
        <f>+C710+C711+C712</f>
        <v>0</v>
      </c>
      <c r="D709" s="13">
        <f>+D710+D711+D712</f>
        <v>0</v>
      </c>
      <c r="E709" s="13">
        <f>+E710+E711+E712</f>
        <v>0</v>
      </c>
      <c r="F709" s="13">
        <f t="shared" ref="F709:H709" si="762">+F710+F711+F712</f>
        <v>0</v>
      </c>
      <c r="G709" s="13">
        <f t="shared" si="762"/>
        <v>0</v>
      </c>
      <c r="H709" s="13">
        <f t="shared" si="762"/>
        <v>0</v>
      </c>
    </row>
    <row r="710" spans="1:10" s="3" customFormat="1" x14ac:dyDescent="0.25">
      <c r="A710" s="10" t="s">
        <v>228</v>
      </c>
      <c r="B710" s="2" t="s">
        <v>231</v>
      </c>
      <c r="C710" s="7">
        <v>0</v>
      </c>
      <c r="D710" s="7">
        <v>0</v>
      </c>
      <c r="E710" s="7">
        <f>+C710+D710</f>
        <v>0</v>
      </c>
      <c r="F710" s="7">
        <v>0</v>
      </c>
      <c r="G710" s="7">
        <f>+F710</f>
        <v>0</v>
      </c>
      <c r="H710" s="7">
        <f>+E710-F710</f>
        <v>0</v>
      </c>
    </row>
    <row r="711" spans="1:10" s="3" customFormat="1" x14ac:dyDescent="0.25">
      <c r="A711" s="10" t="s">
        <v>229</v>
      </c>
      <c r="B711" s="2" t="s">
        <v>232</v>
      </c>
      <c r="C711" s="7">
        <v>0</v>
      </c>
      <c r="D711" s="7">
        <v>0</v>
      </c>
      <c r="E711" s="7">
        <f t="shared" ref="E711" si="763">+C711+D711</f>
        <v>0</v>
      </c>
      <c r="F711" s="7">
        <v>0</v>
      </c>
      <c r="G711" s="7">
        <f>+F711</f>
        <v>0</v>
      </c>
      <c r="H711" s="7">
        <f t="shared" ref="H711:H712" si="764">+E711-F711</f>
        <v>0</v>
      </c>
    </row>
    <row r="712" spans="1:10" s="3" customFormat="1" x14ac:dyDescent="0.25">
      <c r="A712" s="10" t="s">
        <v>230</v>
      </c>
      <c r="B712" s="2" t="s">
        <v>270</v>
      </c>
      <c r="C712" s="7">
        <v>0</v>
      </c>
      <c r="D712" s="7">
        <v>0</v>
      </c>
      <c r="E712" s="7">
        <f>+C712+D712</f>
        <v>0</v>
      </c>
      <c r="F712" s="7">
        <v>0</v>
      </c>
      <c r="G712" s="7">
        <f t="shared" ref="G712" si="765">+F712</f>
        <v>0</v>
      </c>
      <c r="H712" s="7">
        <f t="shared" si="764"/>
        <v>0</v>
      </c>
    </row>
    <row r="713" spans="1:10" x14ac:dyDescent="0.25">
      <c r="A713" s="22"/>
      <c r="C713" s="7"/>
      <c r="D713" s="7"/>
      <c r="E713" s="7"/>
      <c r="F713" s="7"/>
      <c r="G713" s="7"/>
      <c r="H713" s="7"/>
    </row>
    <row r="714" spans="1:10" s="17" customFormat="1" ht="14.25" customHeight="1" x14ac:dyDescent="0.25">
      <c r="A714" s="14" t="s">
        <v>403</v>
      </c>
      <c r="B714" s="15"/>
      <c r="C714" s="16">
        <f>+C715</f>
        <v>0</v>
      </c>
      <c r="D714" s="16">
        <f>+D715</f>
        <v>2958823.4</v>
      </c>
      <c r="E714" s="16">
        <f t="shared" ref="D714:H718" si="766">+E715</f>
        <v>2958823.4</v>
      </c>
      <c r="F714" s="16">
        <f>+F715</f>
        <v>2958823.4</v>
      </c>
      <c r="G714" s="16">
        <f t="shared" si="766"/>
        <v>2005111.96</v>
      </c>
      <c r="H714" s="16">
        <f>+H715</f>
        <v>0</v>
      </c>
      <c r="J714" s="18"/>
    </row>
    <row r="715" spans="1:10" ht="14.25" customHeight="1" x14ac:dyDescent="0.25">
      <c r="A715" s="5" t="s">
        <v>408</v>
      </c>
      <c r="B715" s="4" t="s">
        <v>409</v>
      </c>
      <c r="C715" s="6">
        <f>+C716</f>
        <v>0</v>
      </c>
      <c r="D715" s="6">
        <f>+D716</f>
        <v>2958823.4</v>
      </c>
      <c r="E715" s="6">
        <f t="shared" si="766"/>
        <v>2958823.4</v>
      </c>
      <c r="F715" s="6">
        <f t="shared" si="766"/>
        <v>2958823.4</v>
      </c>
      <c r="G715" s="6">
        <f t="shared" si="766"/>
        <v>2005111.96</v>
      </c>
      <c r="H715" s="6">
        <f t="shared" si="766"/>
        <v>0</v>
      </c>
    </row>
    <row r="716" spans="1:10" s="3" customFormat="1" ht="14.25" customHeight="1" x14ac:dyDescent="0.25">
      <c r="A716" s="1" t="s">
        <v>406</v>
      </c>
      <c r="B716" s="3" t="s">
        <v>407</v>
      </c>
      <c r="C716" s="13">
        <f>+C717+C722</f>
        <v>0</v>
      </c>
      <c r="D716" s="13">
        <f>+D717+D722</f>
        <v>2958823.4</v>
      </c>
      <c r="E716" s="13">
        <f t="shared" ref="E716:H716" si="767">+E717+E722</f>
        <v>2958823.4</v>
      </c>
      <c r="F716" s="13">
        <f t="shared" si="767"/>
        <v>2958823.4</v>
      </c>
      <c r="G716" s="13">
        <f t="shared" si="767"/>
        <v>2005111.96</v>
      </c>
      <c r="H716" s="13">
        <f t="shared" si="767"/>
        <v>0</v>
      </c>
    </row>
    <row r="717" spans="1:10" s="3" customFormat="1" ht="14.25" customHeight="1" x14ac:dyDescent="0.25">
      <c r="A717" s="22">
        <v>3</v>
      </c>
      <c r="B717" s="3" t="s">
        <v>404</v>
      </c>
      <c r="C717" s="13">
        <f>+C718</f>
        <v>0</v>
      </c>
      <c r="D717" s="13">
        <f>+D718+D720</f>
        <v>1598039</v>
      </c>
      <c r="E717" s="13">
        <f t="shared" ref="E717:H717" si="768">+E718+E720</f>
        <v>1598039</v>
      </c>
      <c r="F717" s="13">
        <f t="shared" si="768"/>
        <v>1598039</v>
      </c>
      <c r="G717" s="13">
        <f t="shared" si="768"/>
        <v>1559600.56</v>
      </c>
      <c r="H717" s="13">
        <f t="shared" si="768"/>
        <v>0</v>
      </c>
    </row>
    <row r="718" spans="1:10" s="3" customFormat="1" ht="14.25" customHeight="1" x14ac:dyDescent="0.25">
      <c r="A718" s="22">
        <v>3.3</v>
      </c>
      <c r="B718" s="3" t="s">
        <v>405</v>
      </c>
      <c r="C718" s="13">
        <f>+C719</f>
        <v>0</v>
      </c>
      <c r="D718" s="13">
        <f t="shared" si="766"/>
        <v>250000</v>
      </c>
      <c r="E718" s="13">
        <f t="shared" si="766"/>
        <v>250000</v>
      </c>
      <c r="F718" s="13">
        <f t="shared" si="766"/>
        <v>250000</v>
      </c>
      <c r="G718" s="13">
        <f t="shared" si="766"/>
        <v>250000</v>
      </c>
      <c r="H718" s="13">
        <f t="shared" si="766"/>
        <v>0</v>
      </c>
    </row>
    <row r="719" spans="1:10" ht="14.25" customHeight="1" x14ac:dyDescent="0.25">
      <c r="A719" s="10" t="s">
        <v>155</v>
      </c>
      <c r="B719" s="2" t="s">
        <v>275</v>
      </c>
      <c r="C719" s="7">
        <v>0</v>
      </c>
      <c r="D719" s="7">
        <v>250000</v>
      </c>
      <c r="E719" s="7">
        <f>+C719+D719</f>
        <v>250000</v>
      </c>
      <c r="F719" s="7">
        <v>250000</v>
      </c>
      <c r="G719" s="7">
        <f>+F719</f>
        <v>250000</v>
      </c>
      <c r="H719" s="7">
        <f>+E719-F719</f>
        <v>0</v>
      </c>
    </row>
    <row r="720" spans="1:10" s="3" customFormat="1" x14ac:dyDescent="0.25">
      <c r="A720" s="1">
        <v>3.5</v>
      </c>
      <c r="B720" s="3" t="s">
        <v>47</v>
      </c>
      <c r="C720" s="13">
        <f>+C721</f>
        <v>0</v>
      </c>
      <c r="D720" s="13">
        <f t="shared" ref="D720" si="769">+D721</f>
        <v>1348039</v>
      </c>
      <c r="E720" s="13">
        <f t="shared" ref="E720" si="770">+E721</f>
        <v>1348039</v>
      </c>
      <c r="F720" s="13">
        <f t="shared" ref="F720" si="771">+F721</f>
        <v>1348039</v>
      </c>
      <c r="G720" s="13">
        <f t="shared" ref="G720" si="772">+G721</f>
        <v>1309600.56</v>
      </c>
      <c r="H720" s="13">
        <f t="shared" ref="H720" si="773">+H721</f>
        <v>0</v>
      </c>
      <c r="I720" s="29"/>
    </row>
    <row r="721" spans="1:10" x14ac:dyDescent="0.25">
      <c r="A721" s="10" t="s">
        <v>170</v>
      </c>
      <c r="B721" s="2" t="s">
        <v>175</v>
      </c>
      <c r="C721" s="7">
        <v>0</v>
      </c>
      <c r="D721" s="7">
        <v>1348039</v>
      </c>
      <c r="E721" s="7">
        <f t="shared" ref="E721" si="774">+C721+D721</f>
        <v>1348039</v>
      </c>
      <c r="F721" s="7">
        <v>1348039</v>
      </c>
      <c r="G721" s="7">
        <v>1309600.56</v>
      </c>
      <c r="H721" s="7">
        <f t="shared" ref="H721" si="775">+E721-F721</f>
        <v>0</v>
      </c>
      <c r="I721" s="29"/>
    </row>
    <row r="722" spans="1:10" x14ac:dyDescent="0.25">
      <c r="A722" s="5">
        <v>6</v>
      </c>
      <c r="B722" s="4" t="s">
        <v>35</v>
      </c>
      <c r="C722" s="6">
        <f>+C723</f>
        <v>0</v>
      </c>
      <c r="D722" s="6">
        <f t="shared" ref="D722:H723" si="776">+D723</f>
        <v>1360784.4</v>
      </c>
      <c r="E722" s="6">
        <f t="shared" si="776"/>
        <v>1360784.4</v>
      </c>
      <c r="F722" s="6">
        <f t="shared" si="776"/>
        <v>1360784.4</v>
      </c>
      <c r="G722" s="6">
        <f t="shared" si="776"/>
        <v>445511.4</v>
      </c>
      <c r="H722" s="6">
        <f t="shared" si="776"/>
        <v>0</v>
      </c>
    </row>
    <row r="723" spans="1:10" s="3" customFormat="1" x14ac:dyDescent="0.25">
      <c r="A723" s="1">
        <v>6.1</v>
      </c>
      <c r="B723" s="3" t="s">
        <v>53</v>
      </c>
      <c r="C723" s="13">
        <f>+C724</f>
        <v>0</v>
      </c>
      <c r="D723" s="13">
        <f t="shared" si="776"/>
        <v>1360784.4</v>
      </c>
      <c r="E723" s="13">
        <f t="shared" si="776"/>
        <v>1360784.4</v>
      </c>
      <c r="F723" s="13">
        <f t="shared" si="776"/>
        <v>1360784.4</v>
      </c>
      <c r="G723" s="13">
        <f t="shared" si="776"/>
        <v>445511.4</v>
      </c>
      <c r="H723" s="13">
        <f t="shared" si="776"/>
        <v>0</v>
      </c>
    </row>
    <row r="724" spans="1:10" x14ac:dyDescent="0.25">
      <c r="A724" s="10" t="s">
        <v>253</v>
      </c>
      <c r="B724" s="2" t="s">
        <v>257</v>
      </c>
      <c r="C724" s="7">
        <v>0</v>
      </c>
      <c r="D724" s="7">
        <v>1360784.4</v>
      </c>
      <c r="E724" s="7">
        <f t="shared" ref="E724" si="777">+C724+D724</f>
        <v>1360784.4</v>
      </c>
      <c r="F724" s="7">
        <v>1360784.4</v>
      </c>
      <c r="G724" s="7">
        <v>445511.4</v>
      </c>
      <c r="H724" s="7">
        <v>0</v>
      </c>
    </row>
    <row r="725" spans="1:10" ht="14.25" customHeight="1" x14ac:dyDescent="0.25">
      <c r="A725" s="10"/>
      <c r="C725" s="7"/>
      <c r="D725" s="7"/>
      <c r="E725" s="7"/>
      <c r="F725" s="7"/>
      <c r="G725" s="7"/>
      <c r="H725" s="7"/>
    </row>
    <row r="726" spans="1:10" s="17" customFormat="1" ht="14.25" customHeight="1" x14ac:dyDescent="0.25">
      <c r="A726" s="14" t="s">
        <v>410</v>
      </c>
      <c r="B726" s="15"/>
      <c r="C726" s="16">
        <f>+C727</f>
        <v>0</v>
      </c>
      <c r="D726" s="16">
        <f t="shared" ref="D726:H728" si="778">+D727</f>
        <v>2972584.72</v>
      </c>
      <c r="E726" s="16">
        <f t="shared" si="778"/>
        <v>2972584.72</v>
      </c>
      <c r="F726" s="16">
        <f>+F727</f>
        <v>2966990.11</v>
      </c>
      <c r="G726" s="16">
        <f t="shared" si="778"/>
        <v>2926315.12</v>
      </c>
      <c r="H726" s="16">
        <f>+H727</f>
        <v>5594.6100000003353</v>
      </c>
      <c r="J726" s="18"/>
    </row>
    <row r="727" spans="1:10" ht="14.25" customHeight="1" x14ac:dyDescent="0.25">
      <c r="A727" s="5">
        <v>6</v>
      </c>
      <c r="B727" s="4" t="s">
        <v>35</v>
      </c>
      <c r="C727" s="6">
        <f>+C728</f>
        <v>0</v>
      </c>
      <c r="D727" s="6">
        <f t="shared" si="778"/>
        <v>2972584.72</v>
      </c>
      <c r="E727" s="6">
        <f>+E728</f>
        <v>2972584.72</v>
      </c>
      <c r="F727" s="6">
        <f t="shared" si="778"/>
        <v>2966990.11</v>
      </c>
      <c r="G727" s="6">
        <f t="shared" si="778"/>
        <v>2926315.12</v>
      </c>
      <c r="H727" s="6">
        <f t="shared" si="778"/>
        <v>5594.6100000003353</v>
      </c>
    </row>
    <row r="728" spans="1:10" s="3" customFormat="1" ht="14.25" customHeight="1" x14ac:dyDescent="0.25">
      <c r="A728" s="1">
        <v>6.1</v>
      </c>
      <c r="B728" s="3" t="s">
        <v>53</v>
      </c>
      <c r="C728" s="13">
        <f>+C729</f>
        <v>0</v>
      </c>
      <c r="D728" s="13">
        <f t="shared" si="778"/>
        <v>2972584.72</v>
      </c>
      <c r="E728" s="13">
        <f>+E729</f>
        <v>2972584.72</v>
      </c>
      <c r="F728" s="13">
        <f t="shared" si="778"/>
        <v>2966990.11</v>
      </c>
      <c r="G728" s="13">
        <f t="shared" si="778"/>
        <v>2926315.12</v>
      </c>
      <c r="H728" s="13">
        <f>+H729</f>
        <v>5594.6100000003353</v>
      </c>
    </row>
    <row r="729" spans="1:10" ht="14.25" customHeight="1" x14ac:dyDescent="0.25">
      <c r="A729" s="10" t="s">
        <v>251</v>
      </c>
      <c r="B729" s="2" t="s">
        <v>411</v>
      </c>
      <c r="C729" s="7">
        <v>0</v>
      </c>
      <c r="D729" s="7">
        <v>2972584.72</v>
      </c>
      <c r="E729" s="7">
        <f>+C729+D729</f>
        <v>2972584.72</v>
      </c>
      <c r="F729" s="7">
        <v>2966990.11</v>
      </c>
      <c r="G729" s="7">
        <v>2926315.12</v>
      </c>
      <c r="H729" s="7">
        <f>+E729-F729</f>
        <v>5594.6100000003353</v>
      </c>
    </row>
    <row r="730" spans="1:10" ht="14.25" customHeight="1" x14ac:dyDescent="0.25">
      <c r="A730" s="10"/>
      <c r="C730" s="7"/>
      <c r="D730" s="7"/>
      <c r="E730" s="7"/>
      <c r="F730" s="7"/>
      <c r="G730" s="7"/>
      <c r="H730" s="7"/>
    </row>
    <row r="731" spans="1:10" x14ac:dyDescent="0.25">
      <c r="A731" s="1"/>
      <c r="B731" s="3" t="s">
        <v>63</v>
      </c>
      <c r="C731" s="8">
        <f t="shared" ref="C731:H731" si="779">+C10+C177+C212+C259+C357+C368+C383+C442+C461+C558+C570+C635+C583+C615+C625+C630+C700+C714+C726</f>
        <v>350304946.68000001</v>
      </c>
      <c r="D731" s="8">
        <f t="shared" si="779"/>
        <v>68293423.409999967</v>
      </c>
      <c r="E731" s="8">
        <f t="shared" si="779"/>
        <v>422250490.08000004</v>
      </c>
      <c r="F731" s="8">
        <f t="shared" si="779"/>
        <v>414346895.52999997</v>
      </c>
      <c r="G731" s="8">
        <f t="shared" si="779"/>
        <v>395811591.15999997</v>
      </c>
      <c r="H731" s="8">
        <f t="shared" si="779"/>
        <v>7903594.549999997</v>
      </c>
    </row>
    <row r="732" spans="1:10" x14ac:dyDescent="0.25">
      <c r="A732" s="1"/>
      <c r="E732" s="12"/>
      <c r="F732" s="12"/>
      <c r="G732" s="21"/>
    </row>
    <row r="733" spans="1:10" x14ac:dyDescent="0.25">
      <c r="A733" s="1"/>
      <c r="C733" s="21"/>
      <c r="E733" s="11"/>
      <c r="F733" s="11"/>
      <c r="G733" s="12"/>
    </row>
    <row r="734" spans="1:10" x14ac:dyDescent="0.25">
      <c r="A734" s="1"/>
      <c r="F734" s="21"/>
    </row>
    <row r="735" spans="1:10" x14ac:dyDescent="0.25">
      <c r="A735" s="1"/>
      <c r="F735" s="21"/>
    </row>
    <row r="736" spans="1:10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</sheetData>
  <mergeCells count="11">
    <mergeCell ref="A2:H2"/>
    <mergeCell ref="A4:H4"/>
    <mergeCell ref="A1:H1"/>
    <mergeCell ref="A383:B383"/>
    <mergeCell ref="A442:B442"/>
    <mergeCell ref="A3:H3"/>
    <mergeCell ref="A558:B558"/>
    <mergeCell ref="A625:B625"/>
    <mergeCell ref="A259:B259"/>
    <mergeCell ref="A357:B357"/>
    <mergeCell ref="A368:B368"/>
  </mergeCells>
  <printOptions horizontalCentered="1"/>
  <pageMargins left="0.39370078740157483" right="0.39370078740157483" top="0.59055118110236227" bottom="0.59055118110236227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 DIC</vt:lpstr>
      <vt:lpstr>'ENE- DIC'!Área_de_impresión</vt:lpstr>
      <vt:lpstr>'ENE- DIC'!Títulos_a_imprimir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AmaliaTellez</cp:lastModifiedBy>
  <cp:lastPrinted>2018-12-31T23:49:33Z</cp:lastPrinted>
  <dcterms:created xsi:type="dcterms:W3CDTF">2017-04-25T21:14:33Z</dcterms:created>
  <dcterms:modified xsi:type="dcterms:W3CDTF">2018-12-31T23:49:38Z</dcterms:modified>
</cp:coreProperties>
</file>